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<sst xmlns="http://schemas.openxmlformats.org/spreadsheetml/2006/main" uniqueCount="1920" count="11413">
  <si>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</si>
  <si>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</si>
  <si>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</si>
  <si>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</si>
  <si>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</si>
  <si>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</si>
  <si>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</si>
  <si>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</si>
  <si>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</si>
  <si>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</si>
  <si>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1971007833</t>
  </si>
  <si>
    <t>D102</t>
  </si>
  <si>
    <t>Pugmill P13 TO (323-2876) Preervation Creek MODEL VILLAGE-ALVIN</t>
  </si>
  <si>
    <t>R005934</t>
  </si>
  <si>
    <t>08-14-2025 to 08-20-2025</t>
  </si>
  <si>
    <t>1971007850</t>
  </si>
  <si>
    <t>Pugmill P13 TO (323-2754) Pedegral South Sec 1</t>
  </si>
  <si>
    <t>1971007867</t>
  </si>
  <si>
    <t>Pugmill P13 TO (323-1996) Sunset Grove Sec 5</t>
  </si>
  <si>
    <t>1971007895</t>
  </si>
  <si>
    <t>Pugmill P13 TO (323-1389) TXDOT - G.CO. - FM 518 IMPR</t>
  </si>
  <si>
    <t>1971007917</t>
  </si>
  <si>
    <t>Pugmill P13 TO (323-2986) Preservation Creek Phase 1 Section 1</t>
  </si>
  <si>
    <t>1971007932</t>
  </si>
  <si>
    <t>1971007947</t>
  </si>
  <si>
    <t>Pugmill P13 TO (323-2810) Windrose Green Sec 7 WSDP</t>
  </si>
  <si>
    <t>1971007967</t>
  </si>
  <si>
    <t>Pugmill P13 TO (323-2340) Friendswood 24 Inch Clear Crossing</t>
  </si>
  <si>
    <t>1971007991</t>
  </si>
  <si>
    <t>Pugmill P13 TO (323-3071) Pedregal South DETENTION POND</t>
  </si>
  <si>
    <t>1971008018</t>
  </si>
  <si>
    <t>Pugmill P13 TO (323-2955) 323-2955</t>
  </si>
  <si>
    <t>1971008031</t>
  </si>
  <si>
    <t>1971008048</t>
  </si>
  <si>
    <t>Pugmill P13 TO (323-1052) VIDA MAR SEC 1 WSD</t>
  </si>
  <si>
    <t>1971008055</t>
  </si>
  <si>
    <t>1971008067</t>
  </si>
  <si>
    <t>1971008086</t>
  </si>
  <si>
    <t>1971008105</t>
  </si>
  <si>
    <t>Pugmill P13 TO (323-2179) Dickinson HS CTE Additions</t>
  </si>
  <si>
    <t>1971008129</t>
  </si>
  <si>
    <t>Pugmill P13 TO (323-2126) 323-2126</t>
  </si>
  <si>
    <t>1971008157</t>
  </si>
  <si>
    <t>1971008173</t>
  </si>
  <si>
    <t>Pugmill P13 TO (323-2984) Wild Peach</t>
  </si>
  <si>
    <t>1971008206</t>
  </si>
  <si>
    <t>1971008225</t>
  </si>
  <si>
    <t>Pugmill P13 TO (323-2885) 323-2885</t>
  </si>
  <si>
    <t>1971008246</t>
  </si>
  <si>
    <t>1971008259</t>
  </si>
  <si>
    <t>Pugmill P13 TO (323-17) 323-17</t>
  </si>
  <si>
    <t>1971008282</t>
  </si>
  <si>
    <t>Pugmill P13 TO (323-2776) ERS-CAT Phase 2</t>
  </si>
  <si>
    <t>1971008302</t>
  </si>
  <si>
    <t>1971008319</t>
  </si>
  <si>
    <t>1971008332</t>
  </si>
  <si>
    <t>Pugmill P13 TO (323-2734) Mercedes Benz of Clear Lake Parking Lot Expansion</t>
  </si>
  <si>
    <t>1971008348</t>
  </si>
  <si>
    <t>1971008365</t>
  </si>
  <si>
    <t>Pugmill P13 TO (323-2609) MIDLINE SEC 4 WSDP</t>
  </si>
  <si>
    <t>1971008387</t>
  </si>
  <si>
    <t>1971008406</t>
  </si>
  <si>
    <t>1971008424</t>
  </si>
  <si>
    <t>1971008444</t>
  </si>
  <si>
    <t>Pugmill P13 TO (323-2003) 323-2003</t>
  </si>
  <si>
    <t>1971008489</t>
  </si>
  <si>
    <t>1937009412</t>
  </si>
  <si>
    <t>D123</t>
  </si>
  <si>
    <t>Pugmill P11 TO (323-2738) Williams Elementary School Replacemet</t>
  </si>
  <si>
    <t>R005924</t>
  </si>
  <si>
    <t>1937009465</t>
  </si>
  <si>
    <t>Pugmill P11 TO (323-1052) VIDA MAR SEC 1 WSD</t>
  </si>
  <si>
    <t>1937009491</t>
  </si>
  <si>
    <t>Pugmill P11 TO (323-1132) Hourly Standby</t>
  </si>
  <si>
    <t>1937009493</t>
  </si>
  <si>
    <t>Pugmill P11 TO (323-333) TXDOT (McGREGOR)- SH 288-0598-01-105</t>
  </si>
  <si>
    <t>1972004428</t>
  </si>
  <si>
    <t>Pugmill P15 TO (323-2906) Chimney Rock Segment 2</t>
  </si>
  <si>
    <t>1972004438</t>
  </si>
  <si>
    <t>Pugmill P15 TO (323-714) Sterling McCall Acura</t>
  </si>
  <si>
    <t>1972004448</t>
  </si>
  <si>
    <t>Pugmill P15 TO (323-2670) Constructors PEMB</t>
  </si>
  <si>
    <t>1972004454</t>
  </si>
  <si>
    <t>1972004468</t>
  </si>
  <si>
    <t>Pugmill P15 TO (323-3058) Chuckanut Project</t>
  </si>
  <si>
    <t>1972004486</t>
  </si>
  <si>
    <t>Pugmill P15 TO (323-2942) 323-2942</t>
  </si>
  <si>
    <t>1972004499</t>
  </si>
  <si>
    <t>Pugmill P15 TO (323-333) TXDOT (McGREGOR)- SH 288-0598-01-105</t>
  </si>
  <si>
    <t>1972004514</t>
  </si>
  <si>
    <t>Pugmill P15 TO (323-2313) Huntington Place 7</t>
  </si>
  <si>
    <t>1972004523</t>
  </si>
  <si>
    <t>Pugmill P15 TO (323-2868) 323-2868</t>
  </si>
  <si>
    <t>1972004541</t>
  </si>
  <si>
    <t>Pugmill P15 TO (323-1956) Sienna Sec 76</t>
  </si>
  <si>
    <t>1972004549</t>
  </si>
  <si>
    <t>Pugmill P15 TO (323-2879) S Post Oak Blvd and W Sycamore Rd</t>
  </si>
  <si>
    <t>1972004553</t>
  </si>
  <si>
    <t>Pugmill P15 TO (323-338) Residential Coll/Rice Collg 12,13, and Servery</t>
  </si>
  <si>
    <t>1972004564</t>
  </si>
  <si>
    <t>Pugmill P15 TO (323-2992) BANK OZK at OLD SPANISH TRAIL</t>
  </si>
  <si>
    <t>1972004579</t>
  </si>
  <si>
    <t>Pugmill P15 TO (323-2953) Carson 288</t>
  </si>
  <si>
    <t>1972004590</t>
  </si>
  <si>
    <t>1972004607</t>
  </si>
  <si>
    <t>1972004618</t>
  </si>
  <si>
    <t>Pugmill P15 TO (323-2298) Lexington Blvd</t>
  </si>
  <si>
    <t>1972004633</t>
  </si>
  <si>
    <t>Pugmill P15 TO (323-2881) Park 8 Public Roads</t>
  </si>
  <si>
    <t>1972004648</t>
  </si>
  <si>
    <t>Pugmill P15 TO (323-1556) Bumet Bayland Park Phase 1</t>
  </si>
  <si>
    <t>1972004673</t>
  </si>
  <si>
    <t>1972004686</t>
  </si>
  <si>
    <t>1972004696</t>
  </si>
  <si>
    <t>1972004768</t>
  </si>
  <si>
    <t>1975001869</t>
  </si>
  <si>
    <t>Pugmill P16 TO (323-379) COH - Force Main Flow Diversion - SAGEMONT - 36 Fo</t>
  </si>
  <si>
    <t>1975001882</t>
  </si>
  <si>
    <t>Pugmill P16 TO (323-2953) Carson 288</t>
  </si>
  <si>
    <t>1975001897</t>
  </si>
  <si>
    <t>Pugmill P16 TO (323-22) MD Anderson S Campus Biosciences Research Facility</t>
  </si>
  <si>
    <t>1975001915</t>
  </si>
  <si>
    <t>Pugmill P16 TO (323-2969) Palmi-14251 Del Papa St. 77047 (P01837)</t>
  </si>
  <si>
    <t>1975001928</t>
  </si>
  <si>
    <t>Pugmill P16 TO (323-2393) 4 HORN</t>
  </si>
  <si>
    <t>1975001987</t>
  </si>
  <si>
    <t>Pugmill P16 TO (323-2281) Lowe's Manvel</t>
  </si>
  <si>
    <t>1937009429</t>
  </si>
  <si>
    <t>D130</t>
  </si>
  <si>
    <t>Pugmill P11 TO (323-338) Residential Coll/Rice Collg 12,13, and Servery</t>
  </si>
  <si>
    <t>R005936</t>
  </si>
  <si>
    <t>1937009451</t>
  </si>
  <si>
    <t>1937009474</t>
  </si>
  <si>
    <t>1937009498</t>
  </si>
  <si>
    <t>1972004352</t>
  </si>
  <si>
    <t>Pugmill P15 TO (323-2539) IDV Beechnut</t>
  </si>
  <si>
    <t>1972004363</t>
  </si>
  <si>
    <t>1972004381</t>
  </si>
  <si>
    <t>1972004397</t>
  </si>
  <si>
    <t>Pugmill P15 TO (323-965) Park Crossing Dr WSD&amp;P</t>
  </si>
  <si>
    <t>1972004406</t>
  </si>
  <si>
    <t>1972004412</t>
  </si>
  <si>
    <t>Pugmill P15 TO (323-1265) TXDOT-H.CO-UA-90 - 0027-10-077 - O.S.T.</t>
  </si>
  <si>
    <t>1972004424</t>
  </si>
  <si>
    <t>Pugmill P15 TO (323-2738) Williams Elementary School Replacemet</t>
  </si>
  <si>
    <t>1972004596</t>
  </si>
  <si>
    <t>1972004611</t>
  </si>
  <si>
    <t>1972004627</t>
  </si>
  <si>
    <t>1972004645</t>
  </si>
  <si>
    <t>1972004655</t>
  </si>
  <si>
    <t>1972004678</t>
  </si>
  <si>
    <t>1972004693</t>
  </si>
  <si>
    <t>Pugmill P15 TO (323-2529) Autry Park (CONCRETE)</t>
  </si>
  <si>
    <t>1972004720</t>
  </si>
  <si>
    <t>Pugmill P15 TO (323-3111) BAYBRIAR - SIDEWALK PROGRAM PKG 4</t>
  </si>
  <si>
    <t>1972004734</t>
  </si>
  <si>
    <t>1972004756</t>
  </si>
  <si>
    <t>1972004773</t>
  </si>
  <si>
    <t>1975001880</t>
  </si>
  <si>
    <t>Pugmill P16 TO (323-2298) Lexington Blvd</t>
  </si>
  <si>
    <t>1975001895</t>
  </si>
  <si>
    <t>Pugmill P16 TO (323-2906) Chimney Rock Segment 2</t>
  </si>
  <si>
    <t>1975001913</t>
  </si>
  <si>
    <t>Pugmill P16 TO (323-2144) Magnolia Creek Sec 1</t>
  </si>
  <si>
    <t>1975001921</t>
  </si>
  <si>
    <t>Pugmill P16 TO (323-3125) KELSEY SEYBOLD at MISSOURI CITY</t>
  </si>
  <si>
    <t>1975001935</t>
  </si>
  <si>
    <t>1975001949</t>
  </si>
  <si>
    <t>Pugmill P16 TO (323-2609) MIDLINE SEC 4 WSDP</t>
  </si>
  <si>
    <t>1975001969</t>
  </si>
  <si>
    <t>Pugmill P16 TO (323-333) TXDOT (McGREGOR)- SH 288-0598-01-105</t>
  </si>
  <si>
    <t>1975001986</t>
  </si>
  <si>
    <t>Pugmill P16 TO (323-2313) Huntington Place 7</t>
  </si>
  <si>
    <t>1937009434</t>
  </si>
  <si>
    <t>D132</t>
  </si>
  <si>
    <t>R005937</t>
  </si>
  <si>
    <t>1937009466</t>
  </si>
  <si>
    <t>1937009494</t>
  </si>
  <si>
    <t>Pugmill P11 TO (323-2179) Dickinson HS CTE Additions</t>
  </si>
  <si>
    <t>1972004350</t>
  </si>
  <si>
    <t>1972004374</t>
  </si>
  <si>
    <t>1972004380</t>
  </si>
  <si>
    <t>1972004388</t>
  </si>
  <si>
    <t>Pugmill P15 TO (323-2969) Palmi-14251 Del Papa St. 77047 (P01837)</t>
  </si>
  <si>
    <t>1972004401</t>
  </si>
  <si>
    <t>Pugmill P15 TO (323-3072) Oil States</t>
  </si>
  <si>
    <t>1972004419</t>
  </si>
  <si>
    <t>1972004502</t>
  </si>
  <si>
    <t>1972004515</t>
  </si>
  <si>
    <t>1972004625</t>
  </si>
  <si>
    <t>1972004646</t>
  </si>
  <si>
    <t>1972004657</t>
  </si>
  <si>
    <t>1972004679</t>
  </si>
  <si>
    <t>1972004692</t>
  </si>
  <si>
    <t>1972004716</t>
  </si>
  <si>
    <t>1972004730</t>
  </si>
  <si>
    <t>Pugmill P15 TO (323-2514) MDACC - South Campus HazMat Storage</t>
  </si>
  <si>
    <t>1972004753</t>
  </si>
  <si>
    <t>1972004762</t>
  </si>
  <si>
    <t>1972004503</t>
  </si>
  <si>
    <t>D132 (D130)</t>
  </si>
  <si>
    <t>1972004516</t>
  </si>
  <si>
    <t>1973021637</t>
  </si>
  <si>
    <t>D137</t>
  </si>
  <si>
    <t>Pugmill P3 TO (323-2605) Bridgeland Central 5 and 8 WSDP</t>
  </si>
  <si>
    <t>R005947</t>
  </si>
  <si>
    <t>1973021653</t>
  </si>
  <si>
    <t>Pugmill P3 TO (323-2120) Lake of Cane Island Detention</t>
  </si>
  <si>
    <t>1973021682</t>
  </si>
  <si>
    <t>Pugmill P3 TO (323-1828) Baethe Road Trunk Sewer Line - HCMUD 576</t>
  </si>
  <si>
    <t>1973021775</t>
  </si>
  <si>
    <t>Pugmill P3 TO (323-2473) Sanitary Sewer LS to Serve Sunset Valley</t>
  </si>
  <si>
    <t>1973021810</t>
  </si>
  <si>
    <t>Pugmill P3 TO (323-1557) Sunshine Villas</t>
  </si>
  <si>
    <t>1973021860</t>
  </si>
  <si>
    <t>Pugmill P3 TO (323-2225) Del Webb Fulshear Sec 8 &amp; Lou Water Pkwy PH 2</t>
  </si>
  <si>
    <t>1973021924</t>
  </si>
  <si>
    <t>Pugmill P3 TO (323-2394) Pecan Ridge Sec 13</t>
  </si>
  <si>
    <t>1973021962</t>
  </si>
  <si>
    <t>Pugmill P3 TO (323-2702) Elyson Sec 64 WSDP</t>
  </si>
  <si>
    <t>1973021969</t>
  </si>
  <si>
    <t>Pugmill P3 TO (323-2638) Tuckerton Rd - Howard Hughes Memorial</t>
  </si>
  <si>
    <t>1973022010</t>
  </si>
  <si>
    <t>1973022056</t>
  </si>
  <si>
    <t>Pugmill P3 TO (323-1998) Mirabella Dr PH 1 Sec 1 AND 2</t>
  </si>
  <si>
    <t>1973022084</t>
  </si>
  <si>
    <t>Pugmill P3 TO (323-2973) 323-2973</t>
  </si>
  <si>
    <t>1973022115</t>
  </si>
  <si>
    <t>1973022147</t>
  </si>
  <si>
    <t>Pugmill P3 TO (323-910) JUBILEE HAVEN BLVD STREET DED SEC 2 wsd</t>
  </si>
  <si>
    <t>1973022160</t>
  </si>
  <si>
    <t>1973022168</t>
  </si>
  <si>
    <t>1973022201</t>
  </si>
  <si>
    <t>Pugmill P3 TO (323-2598) Elyson Blvd St Ded Sec 5 WSDP</t>
  </si>
  <si>
    <t>1973022217</t>
  </si>
  <si>
    <t>Pugmill P3 TO (323-2905) 323-2905</t>
  </si>
  <si>
    <t>1973022251</t>
  </si>
  <si>
    <t>Pugmill P3 TO (323-1349) GRAND MASON DETENTION PH 3</t>
  </si>
  <si>
    <t>1973022260</t>
  </si>
  <si>
    <t>1973022301</t>
  </si>
  <si>
    <t>1973022314</t>
  </si>
  <si>
    <t>1973022352</t>
  </si>
  <si>
    <t>1973022391</t>
  </si>
  <si>
    <t>1973022436</t>
  </si>
  <si>
    <t>Pugmill P3 TO (323-2971) 323-2971</t>
  </si>
  <si>
    <t>1973022499</t>
  </si>
  <si>
    <t>1973022530</t>
  </si>
  <si>
    <t>1973022548</t>
  </si>
  <si>
    <t>Pugmill P3 TO (323-3102) Oakhill Reserve Sec 1 &amp; 2</t>
  </si>
  <si>
    <t>1973022552</t>
  </si>
  <si>
    <t>1973022595</t>
  </si>
  <si>
    <t>1973022613</t>
  </si>
  <si>
    <t>1973022634</t>
  </si>
  <si>
    <t>Pugmill P3 TO (323-1713) Briscoe Falls Sec 6 WSD&amp;P</t>
  </si>
  <si>
    <t>1973022655</t>
  </si>
  <si>
    <t>Pugmill P3 TO (323-3097) 323-3097</t>
  </si>
  <si>
    <t>1973022677</t>
  </si>
  <si>
    <t>1973022693</t>
  </si>
  <si>
    <t>Pugmill P3 TO (323-116) STOKESBURY SEC 2 &amp; 3</t>
  </si>
  <si>
    <t>1973022701</t>
  </si>
  <si>
    <t>1973022721</t>
  </si>
  <si>
    <t>1973022772</t>
  </si>
  <si>
    <t>1973022798</t>
  </si>
  <si>
    <t>1973022834</t>
  </si>
  <si>
    <t>Pugmill P3 TO (323-1863) Project Gemini</t>
  </si>
  <si>
    <t>1973021707</t>
  </si>
  <si>
    <t>D14</t>
  </si>
  <si>
    <t>R005930</t>
  </si>
  <si>
    <t>1973021747</t>
  </si>
  <si>
    <t>Pugmill P3 TO (323-2362) Dennison Tract MG and Det</t>
  </si>
  <si>
    <t>1973021770</t>
  </si>
  <si>
    <t>1973021817</t>
  </si>
  <si>
    <t>1973021829</t>
  </si>
  <si>
    <t>1973021887</t>
  </si>
  <si>
    <t>Pugmill P3 TO (323-123) Mill Creek Estates Section 8 WSDP</t>
  </si>
  <si>
    <t>1973021917</t>
  </si>
  <si>
    <t>1973022199</t>
  </si>
  <si>
    <t>1973022235</t>
  </si>
  <si>
    <t>1973022270</t>
  </si>
  <si>
    <t>1973022298</t>
  </si>
  <si>
    <t>1973022328</t>
  </si>
  <si>
    <t>Pugmill P3 TO (323-3092) Bluestem Phase 2 Rec Center</t>
  </si>
  <si>
    <t>1973022371</t>
  </si>
  <si>
    <t>1973022401</t>
  </si>
  <si>
    <t>Pugmill P3 TO (323-115) 323-115</t>
  </si>
  <si>
    <t>1973022452</t>
  </si>
  <si>
    <t>Pugmill P3 TO (323-21) 323-21</t>
  </si>
  <si>
    <t>1973022493</t>
  </si>
  <si>
    <t>Pugmill P3 TO (323-1213) 323-1213</t>
  </si>
  <si>
    <t>1973022535</t>
  </si>
  <si>
    <t>1973022549</t>
  </si>
  <si>
    <t>1973022609</t>
  </si>
  <si>
    <t>1973022756</t>
  </si>
  <si>
    <t>Pugmill P3 TO (323-2588) Fulshear Central</t>
  </si>
  <si>
    <t>1973022821</t>
  </si>
  <si>
    <t>Pugmill P3 TO (323-2958) 323-2958</t>
  </si>
  <si>
    <t>1973022850</t>
  </si>
  <si>
    <t>1973022875</t>
  </si>
  <si>
    <t>1973022926</t>
  </si>
  <si>
    <t>1973022949</t>
  </si>
  <si>
    <t>1931013629</t>
  </si>
  <si>
    <t>D140</t>
  </si>
  <si>
    <t>Pugmill P6 TO (323-2952) 323-2952</t>
  </si>
  <si>
    <t>R005945</t>
  </si>
  <si>
    <t>1931013649</t>
  </si>
  <si>
    <t>Pugmill P6 TO (323-1713) Briscoe Falls Sec 6 WSD&amp;P</t>
  </si>
  <si>
    <t>1931013676</t>
  </si>
  <si>
    <t>Pugmill P6 TO (323-1341) The George Detention and Grading</t>
  </si>
  <si>
    <t>1931013700</t>
  </si>
  <si>
    <t>Pugmill P6 TO (323-2781) August Meadows Sec 1</t>
  </si>
  <si>
    <t>1931013728</t>
  </si>
  <si>
    <t>Pugmill P6 TO (323-2628) Revera Sec 3 WSDP</t>
  </si>
  <si>
    <t>1931013753</t>
  </si>
  <si>
    <t>Pugmill P6 TO (323-2119) Ryehill Sec 1</t>
  </si>
  <si>
    <t>1931013778</t>
  </si>
  <si>
    <t>Pugmill P6 TO (323-08) Belknap Rd Pave... Drainage Imprvmt</t>
  </si>
  <si>
    <t>1931013815</t>
  </si>
  <si>
    <t>1931013841</t>
  </si>
  <si>
    <t>Pugmill P6 TO (323-2650) DEL WEBB AT RYEHILL SEC 1</t>
  </si>
  <si>
    <t>1931013861</t>
  </si>
  <si>
    <t>Pugmill P6 TO (323-2976) 323-2976</t>
  </si>
  <si>
    <t>1931013880</t>
  </si>
  <si>
    <t>1931013898</t>
  </si>
  <si>
    <t>1931013920</t>
  </si>
  <si>
    <t>Pugmill P6 TO (323-661) TXDOT - WHARTON COUNTY, US 59</t>
  </si>
  <si>
    <t>1931013963</t>
  </si>
  <si>
    <t>Pugmill P6 TO (323-2718) Revera Det and MG</t>
  </si>
  <si>
    <t>1931013989</t>
  </si>
  <si>
    <t>1931014468</t>
  </si>
  <si>
    <t>1931014491</t>
  </si>
  <si>
    <t>1931014529</t>
  </si>
  <si>
    <t>1931014553</t>
  </si>
  <si>
    <t>1931014579</t>
  </si>
  <si>
    <t>Pugmill P6 TO (323-3053) Four Corners Ranch</t>
  </si>
  <si>
    <t>1931014609</t>
  </si>
  <si>
    <t>Pugmill P6 TO (323-2566) ISD Site Improvements</t>
  </si>
  <si>
    <t>1931014656</t>
  </si>
  <si>
    <t>1931014681</t>
  </si>
  <si>
    <t>1931014708</t>
  </si>
  <si>
    <t>Pugmill P6 TO (323-186) Ryehill D&amp;MG Ph 1</t>
  </si>
  <si>
    <t>1931014728</t>
  </si>
  <si>
    <t>Pugmill P6 TO (323-2951) Landing Sec 5</t>
  </si>
  <si>
    <t>1931014754</t>
  </si>
  <si>
    <t>1931014789</t>
  </si>
  <si>
    <t>1931014832</t>
  </si>
  <si>
    <t>1931014868</t>
  </si>
  <si>
    <t>1931014902</t>
  </si>
  <si>
    <t>1931014932</t>
  </si>
  <si>
    <t>Pugmill P6 TO (323-1213) 323-1213</t>
  </si>
  <si>
    <t>1931013618</t>
  </si>
  <si>
    <t>D143</t>
  </si>
  <si>
    <t>R005917</t>
  </si>
  <si>
    <t>1931013643</t>
  </si>
  <si>
    <t>1931013668</t>
  </si>
  <si>
    <t>1931013702</t>
  </si>
  <si>
    <t>1931013719</t>
  </si>
  <si>
    <t>1931013740</t>
  </si>
  <si>
    <t>1931013761</t>
  </si>
  <si>
    <t>1931013787</t>
  </si>
  <si>
    <t>1931013811</t>
  </si>
  <si>
    <t>1931013837</t>
  </si>
  <si>
    <t>1931013863</t>
  </si>
  <si>
    <t>1931013619</t>
  </si>
  <si>
    <t>D144</t>
  </si>
  <si>
    <t>R005918</t>
  </si>
  <si>
    <t>1931013642</t>
  </si>
  <si>
    <t>1931013669</t>
  </si>
  <si>
    <t>1931013703</t>
  </si>
  <si>
    <t>1931013720</t>
  </si>
  <si>
    <t>1931013743</t>
  </si>
  <si>
    <t>1931013763</t>
  </si>
  <si>
    <t>1931013788</t>
  </si>
  <si>
    <t>1931013812</t>
  </si>
  <si>
    <t>1931013839</t>
  </si>
  <si>
    <t>1931013871</t>
  </si>
  <si>
    <t>1931013882</t>
  </si>
  <si>
    <t>1971007845</t>
  </si>
  <si>
    <t>D158</t>
  </si>
  <si>
    <t>R005942</t>
  </si>
  <si>
    <t>1973021684</t>
  </si>
  <si>
    <t>D16</t>
  </si>
  <si>
    <t>R005931</t>
  </si>
  <si>
    <t>1973021715</t>
  </si>
  <si>
    <t>1973021738</t>
  </si>
  <si>
    <t>Pugmill P3 TO (323-2421) W 99 BUSINESS PARK</t>
  </si>
  <si>
    <t>1973021768</t>
  </si>
  <si>
    <t>1973021811</t>
  </si>
  <si>
    <t>1973021825</t>
  </si>
  <si>
    <t>1973021879</t>
  </si>
  <si>
    <t>Pugmill P3 TO (323-2911) 323-2911</t>
  </si>
  <si>
    <t>1973021897</t>
  </si>
  <si>
    <t>1973021921</t>
  </si>
  <si>
    <t>1973021940</t>
  </si>
  <si>
    <t>1973021999</t>
  </si>
  <si>
    <t>1973022044</t>
  </si>
  <si>
    <t>1973022073</t>
  </si>
  <si>
    <t>1973022106</t>
  </si>
  <si>
    <t>1973022142</t>
  </si>
  <si>
    <t>Pugmill P3 TO (323-2594) Cross Creek West Sec 12 WSDP</t>
  </si>
  <si>
    <t>1973022163</t>
  </si>
  <si>
    <t>1973022188</t>
  </si>
  <si>
    <t>1973022233</t>
  </si>
  <si>
    <t>1973022261</t>
  </si>
  <si>
    <t>1973022305</t>
  </si>
  <si>
    <t>1973022317</t>
  </si>
  <si>
    <t>1973022368</t>
  </si>
  <si>
    <t>Pugmill P3 TO (323-3024) Aspire Katy (Fry and Clay Multifamily)</t>
  </si>
  <si>
    <t>1973022402</t>
  </si>
  <si>
    <t>1973022445</t>
  </si>
  <si>
    <t>1973022492</t>
  </si>
  <si>
    <t>1973022534</t>
  </si>
  <si>
    <t>1973022545</t>
  </si>
  <si>
    <t>1973022551</t>
  </si>
  <si>
    <t>1973022600</t>
  </si>
  <si>
    <t>1973022753</t>
  </si>
  <si>
    <t>1973022819</t>
  </si>
  <si>
    <t>1973022849</t>
  </si>
  <si>
    <t>1973022876</t>
  </si>
  <si>
    <t>1973022921</t>
  </si>
  <si>
    <t>Pugmill P3 TO (323-2710) Indigo Trails LS</t>
  </si>
  <si>
    <t>1973022967</t>
  </si>
  <si>
    <t>1973021644</t>
  </si>
  <si>
    <t>D167</t>
  </si>
  <si>
    <t>R005920</t>
  </si>
  <si>
    <t>1973021685</t>
  </si>
  <si>
    <t>1973021736</t>
  </si>
  <si>
    <t>1973021750</t>
  </si>
  <si>
    <t>1973021849</t>
  </si>
  <si>
    <t>Pugmill P3 TO (323-2883) Jubiliee</t>
  </si>
  <si>
    <t>1973021925</t>
  </si>
  <si>
    <t>1973021964</t>
  </si>
  <si>
    <t>1973022008</t>
  </si>
  <si>
    <t>1973022058</t>
  </si>
  <si>
    <t>Pugmill P3 TO (323-157) Prose Grant Road Apartaments</t>
  </si>
  <si>
    <t>1973022102</t>
  </si>
  <si>
    <t>1973022140</t>
  </si>
  <si>
    <t>1973022170</t>
  </si>
  <si>
    <t>1973022209</t>
  </si>
  <si>
    <t>1973022268</t>
  </si>
  <si>
    <t>Pugmill P3 TO (323-2170) Barely Lane</t>
  </si>
  <si>
    <t>1973022384</t>
  </si>
  <si>
    <t>1973022409</t>
  </si>
  <si>
    <t>1973022450</t>
  </si>
  <si>
    <t>1973022469</t>
  </si>
  <si>
    <t>1973022504</t>
  </si>
  <si>
    <t>1973022559</t>
  </si>
  <si>
    <t>1973022615</t>
  </si>
  <si>
    <t>1973022633</t>
  </si>
  <si>
    <t>1973022656</t>
  </si>
  <si>
    <t>1973022685</t>
  </si>
  <si>
    <t>1973022703</t>
  </si>
  <si>
    <t>1973022743</t>
  </si>
  <si>
    <t>1973022783</t>
  </si>
  <si>
    <t>1973022826</t>
  </si>
  <si>
    <t>1973022865</t>
  </si>
  <si>
    <t>1973022908</t>
  </si>
  <si>
    <t>Pugmill P3 TO (323-2722) Water Plant NoO.2 Exp BARKER CYPRESS MUD</t>
  </si>
  <si>
    <t>1973022941</t>
  </si>
  <si>
    <t>1973022968</t>
  </si>
  <si>
    <t>1936008909</t>
  </si>
  <si>
    <t>D173</t>
  </si>
  <si>
    <t>Pugmill P10 TO (323-2918) 323-2918</t>
  </si>
  <si>
    <t>R005912</t>
  </si>
  <si>
    <t>1936008923</t>
  </si>
  <si>
    <t>Pugmill P10 TO (323-2600) MAGNOLIA FOREST SEC 3</t>
  </si>
  <si>
    <t>1936008937</t>
  </si>
  <si>
    <t>1936008950</t>
  </si>
  <si>
    <t>Pugmill P10 TO (323-2554) BRIARLY PH 1B WSDP</t>
  </si>
  <si>
    <t>1936008961</t>
  </si>
  <si>
    <t>Pugmill P10 TO (323-2645) KEENAN  SEC 1-WSDP CLEARING, GRUBSING MG DET</t>
  </si>
  <si>
    <t>1936008967</t>
  </si>
  <si>
    <t>1936008974</t>
  </si>
  <si>
    <t>1936008986</t>
  </si>
  <si>
    <t>1936008996</t>
  </si>
  <si>
    <t>1936009002</t>
  </si>
  <si>
    <t>Pugmill P10 TO (323-1692) 323-1692</t>
  </si>
  <si>
    <t>1936009016</t>
  </si>
  <si>
    <t>Pugmill P10 TO (323-2735) Woodhaven Estates Sec 5</t>
  </si>
  <si>
    <t>1936009037</t>
  </si>
  <si>
    <t>1936009043</t>
  </si>
  <si>
    <t>Pugmill P10 TO (323-1468) Legacy Prep Performing Arts Center</t>
  </si>
  <si>
    <t>1936009062</t>
  </si>
  <si>
    <t>1936009072</t>
  </si>
  <si>
    <t>1936009090</t>
  </si>
  <si>
    <t>1936009100</t>
  </si>
  <si>
    <t>1936009150</t>
  </si>
  <si>
    <t>1936009157</t>
  </si>
  <si>
    <t>1936009162</t>
  </si>
  <si>
    <t>1936009177</t>
  </si>
  <si>
    <t>1936009183</t>
  </si>
  <si>
    <t>1936009205</t>
  </si>
  <si>
    <t>1936009211</t>
  </si>
  <si>
    <t>Pugmill P10 TO (323-432) Audubon Blvd Offsite WL and SS</t>
  </si>
  <si>
    <t>1973022262</t>
  </si>
  <si>
    <t>D195</t>
  </si>
  <si>
    <t>R005946</t>
  </si>
  <si>
    <t>1973022310</t>
  </si>
  <si>
    <t>1973021641</t>
  </si>
  <si>
    <t>D20</t>
  </si>
  <si>
    <t>R005933</t>
  </si>
  <si>
    <t>1973021679</t>
  </si>
  <si>
    <t>1973021697</t>
  </si>
  <si>
    <t>1973021756</t>
  </si>
  <si>
    <t>1973021786</t>
  </si>
  <si>
    <t>1973021843</t>
  </si>
  <si>
    <t>1973022183</t>
  </si>
  <si>
    <t>1973022229</t>
  </si>
  <si>
    <t>1973022349</t>
  </si>
  <si>
    <t>1973022404</t>
  </si>
  <si>
    <t>1973022442</t>
  </si>
  <si>
    <t>1973022495</t>
  </si>
  <si>
    <t>Pugmill P3 TO (323-1140) Lamar CISD ES #37</t>
  </si>
  <si>
    <t>1973022555</t>
  </si>
  <si>
    <t>1973022598</t>
  </si>
  <si>
    <t>1973022713</t>
  </si>
  <si>
    <t>Pugmill P3 TO (323-1890) Maple Woods, Section 1</t>
  </si>
  <si>
    <t>1973022749</t>
  </si>
  <si>
    <t>1973022792</t>
  </si>
  <si>
    <t>Pugmill P3 TO (323-773) Heights Airline and Drexel Drainage Improv (katy)</t>
  </si>
  <si>
    <t>1973022835</t>
  </si>
  <si>
    <t>1973022888</t>
  </si>
  <si>
    <t>Pugmill P3 TO (323-205) Wildrye Section 2 WSD</t>
  </si>
  <si>
    <t>1973022931</t>
  </si>
  <si>
    <t>1971007829</t>
  </si>
  <si>
    <t>D209</t>
  </si>
  <si>
    <t>R005921</t>
  </si>
  <si>
    <t>1971007857</t>
  </si>
  <si>
    <t>Pugmill P13 TO (323-982) Columbia HS Additions &amp; Renovations</t>
  </si>
  <si>
    <t>1971007889</t>
  </si>
  <si>
    <t>1971007925</t>
  </si>
  <si>
    <t>1971007935</t>
  </si>
  <si>
    <t>1971007943</t>
  </si>
  <si>
    <t>1971007964</t>
  </si>
  <si>
    <t>1971007978</t>
  </si>
  <si>
    <t>Pugmill P13 TO (323-2000) Texas City 19th Ave and 16th St</t>
  </si>
  <si>
    <t>1971008008</t>
  </si>
  <si>
    <t>Pugmill P13 TO (323-2745) Beamer Road Ph 1A</t>
  </si>
  <si>
    <t>1971008027</t>
  </si>
  <si>
    <t>1971008050</t>
  </si>
  <si>
    <t>1971008061</t>
  </si>
  <si>
    <t>1971008079</t>
  </si>
  <si>
    <t>1971008121</t>
  </si>
  <si>
    <t>1971008137</t>
  </si>
  <si>
    <t>1971008182</t>
  </si>
  <si>
    <t>1971008183</t>
  </si>
  <si>
    <t>Pugmill P13 TO (323-199) Bayou Lakes Sec 5</t>
  </si>
  <si>
    <t>1971008201</t>
  </si>
  <si>
    <t>1971008208</t>
  </si>
  <si>
    <t>1971008229</t>
  </si>
  <si>
    <t>1971008240</t>
  </si>
  <si>
    <t xml:space="preserve">Pugmill P13 TO (323-1591) Turner St and Butlers Rd Recon </t>
  </si>
  <si>
    <t>1971008260</t>
  </si>
  <si>
    <t>1971008295</t>
  </si>
  <si>
    <t>1971008321</t>
  </si>
  <si>
    <t>1971008333</t>
  </si>
  <si>
    <t>1971008344</t>
  </si>
  <si>
    <t>1971008358</t>
  </si>
  <si>
    <t>1971008375</t>
  </si>
  <si>
    <t>1971008404</t>
  </si>
  <si>
    <t>1971008427</t>
  </si>
  <si>
    <t>1971008449</t>
  </si>
  <si>
    <t>Pugmill P13 TO (323-611) TXDOT - GALVESTON - SH 146 - LEAGUE CITY - 0389-06</t>
  </si>
  <si>
    <t>1971008477</t>
  </si>
  <si>
    <t>1971008493</t>
  </si>
  <si>
    <t>1971008062</t>
  </si>
  <si>
    <t>D217</t>
  </si>
  <si>
    <t>R005943</t>
  </si>
  <si>
    <t>1971008081</t>
  </si>
  <si>
    <t>1971008095</t>
  </si>
  <si>
    <t>1937009149</t>
  </si>
  <si>
    <t>D231</t>
  </si>
  <si>
    <t>Pugmill P11 TO (323-2374) SIERRA VISTA WEST SEC 11</t>
  </si>
  <si>
    <t>R005923</t>
  </si>
  <si>
    <t>1937009160</t>
  </si>
  <si>
    <t>Pugmill P11 TO (323-2770) 323-2770</t>
  </si>
  <si>
    <t>1937009191</t>
  </si>
  <si>
    <t>Pugmill P11 TO (323-761) BCMUD 21 Expantion</t>
  </si>
  <si>
    <t>1937009269</t>
  </si>
  <si>
    <t>1937009281</t>
  </si>
  <si>
    <t>Pugmill P11 TO (323-1613) 323-1613</t>
  </si>
  <si>
    <t>1937009308</t>
  </si>
  <si>
    <t>Pugmill P11 TO (323-433) Barry Rose WRF phase 1</t>
  </si>
  <si>
    <t>1937009332</t>
  </si>
  <si>
    <t>Pugmill P11 TO (323-2906) Chimney Rock Segment 2</t>
  </si>
  <si>
    <t>1937009378</t>
  </si>
  <si>
    <t>Pugmill P11 TO (323-617) UH Loop Road</t>
  </si>
  <si>
    <t>1937009414</t>
  </si>
  <si>
    <t>1937009457</t>
  </si>
  <si>
    <t>1937009458</t>
  </si>
  <si>
    <t>1937009495</t>
  </si>
  <si>
    <t>Pugmill P11 TO (323-2986) Preservation Creek Phase 1 Section 1</t>
  </si>
  <si>
    <t>1937009503</t>
  </si>
  <si>
    <t>Pugmill P11 TO (323-2144) Magnolia Creek Sec 1</t>
  </si>
  <si>
    <t>1937009523</t>
  </si>
  <si>
    <t>1972004378</t>
  </si>
  <si>
    <t>1972004394</t>
  </si>
  <si>
    <t>1972004481</t>
  </si>
  <si>
    <t>Pugmill P15 TO (323-19) MD Anderson Consolidated Service Center</t>
  </si>
  <si>
    <t>1972004493</t>
  </si>
  <si>
    <t>1972004556</t>
  </si>
  <si>
    <t>1972004560</t>
  </si>
  <si>
    <t>1972004574</t>
  </si>
  <si>
    <t>Pugmill P15 TO (323-846) MD Anderson CSB</t>
  </si>
  <si>
    <t>1972004592</t>
  </si>
  <si>
    <t>Pugmill P15 TO (323-3051) Long Point Creek - FT BEND-DARBY</t>
  </si>
  <si>
    <t>1972004604</t>
  </si>
  <si>
    <t>1972004616</t>
  </si>
  <si>
    <t>1972004628</t>
  </si>
  <si>
    <t>1972004637</t>
  </si>
  <si>
    <t>1972004649</t>
  </si>
  <si>
    <t>1972004664</t>
  </si>
  <si>
    <t>1972004682</t>
  </si>
  <si>
    <t>1972004706</t>
  </si>
  <si>
    <t>1972004723</t>
  </si>
  <si>
    <t>1972004735</t>
  </si>
  <si>
    <t>1972004757</t>
  </si>
  <si>
    <t>1972004767</t>
  </si>
  <si>
    <t>Pugmill P15 TO (323-22) MD Anderson S Campus Biosciences Research Facility</t>
  </si>
  <si>
    <t>1937009430</t>
  </si>
  <si>
    <t>D232</t>
  </si>
  <si>
    <t>Pugmill P11 TO (323-2055) A CONST 302 MCCARTY 77029</t>
  </si>
  <si>
    <t>R005922</t>
  </si>
  <si>
    <t>1937009444</t>
  </si>
  <si>
    <t>1937009468</t>
  </si>
  <si>
    <t>1937009502</t>
  </si>
  <si>
    <t>Pugmill P11 TO (323-09) The Hills Sims Park Trails</t>
  </si>
  <si>
    <t>1937009524</t>
  </si>
  <si>
    <t>Pugmill P11 TO (323-965) Park Crossing Dr WSD&amp;P</t>
  </si>
  <si>
    <t>1972004353</t>
  </si>
  <si>
    <t>1972004366</t>
  </si>
  <si>
    <t>Pugmill P15 TO (323-3025) TAREYTON - 2023-01WST WTR Collection Syst Rehab</t>
  </si>
  <si>
    <t>1972004386</t>
  </si>
  <si>
    <t>1972004437</t>
  </si>
  <si>
    <t>Pugmill P15 TO (323-306) Vicksburg Pad 1</t>
  </si>
  <si>
    <t>1972004443</t>
  </si>
  <si>
    <t>1972004453</t>
  </si>
  <si>
    <t>1972004467</t>
  </si>
  <si>
    <t>1972004476</t>
  </si>
  <si>
    <t>Pugmill P15 TO (323-2221) Windsor</t>
  </si>
  <si>
    <t>1972004487</t>
  </si>
  <si>
    <t>1972004501</t>
  </si>
  <si>
    <t>Pugmill P15 TO (323-1793) Owen Bend Drive Phase 1</t>
  </si>
  <si>
    <t>1972004511</t>
  </si>
  <si>
    <t>1972004547</t>
  </si>
  <si>
    <t>1972004557</t>
  </si>
  <si>
    <t>1972004566</t>
  </si>
  <si>
    <t>1972004580</t>
  </si>
  <si>
    <t>1972004588</t>
  </si>
  <si>
    <t>1972004599</t>
  </si>
  <si>
    <t>1972004600</t>
  </si>
  <si>
    <t>1972004622</t>
  </si>
  <si>
    <t>1972004643</t>
  </si>
  <si>
    <t>1972004662</t>
  </si>
  <si>
    <t>Pugmill P15 TO (323-3125) KELSEY SEYBOLD at MISSOURI CITY</t>
  </si>
  <si>
    <t>1972004669</t>
  </si>
  <si>
    <t>1972004685</t>
  </si>
  <si>
    <t>1972004695</t>
  </si>
  <si>
    <t>1972004717</t>
  </si>
  <si>
    <t>1972004731</t>
  </si>
  <si>
    <t>1972004741</t>
  </si>
  <si>
    <t>1972004759</t>
  </si>
  <si>
    <t>Pugmill P15 TO (323-1833) 610 Business Park PH II</t>
  </si>
  <si>
    <t>1975001883</t>
  </si>
  <si>
    <t>1975001899</t>
  </si>
  <si>
    <t>Pugmill P16 TO (323-2738) Williams Elementary School Replacemet</t>
  </si>
  <si>
    <t>1975001924</t>
  </si>
  <si>
    <t>Pugmill P16 TO (323-1833) 610 Business Park PH II</t>
  </si>
  <si>
    <t>1975001945</t>
  </si>
  <si>
    <t>Pugmill P16 TO (323-3128) Sienna Pkwy Sec 6 Paving</t>
  </si>
  <si>
    <t>1975001958</t>
  </si>
  <si>
    <t>Pugmill P16 TO (323-1052) VIDA MAR SEC 1 WSD</t>
  </si>
  <si>
    <t>1975001978</t>
  </si>
  <si>
    <t>Pugmill P16 TO (323-3071) Pedregal South DETENTION POND</t>
  </si>
  <si>
    <t>1931014770</t>
  </si>
  <si>
    <t>D242</t>
  </si>
  <si>
    <t>R005940</t>
  </si>
  <si>
    <t>1931014801</t>
  </si>
  <si>
    <t>1931014840</t>
  </si>
  <si>
    <t>1931014876</t>
  </si>
  <si>
    <t>Pugmill P6 TO (323-659) 323-659</t>
  </si>
  <si>
    <t>1931014906</t>
  </si>
  <si>
    <t>1931014938</t>
  </si>
  <si>
    <t>1931014952</t>
  </si>
  <si>
    <t>1938007734</t>
  </si>
  <si>
    <t>D264</t>
  </si>
  <si>
    <t>Pugmill P12 TO (323-2954) 323-2954</t>
  </si>
  <si>
    <t>R005914</t>
  </si>
  <si>
    <t>1938007754</t>
  </si>
  <si>
    <t>Pugmill P12 TO (323-177) 323-177</t>
  </si>
  <si>
    <t>1938007767</t>
  </si>
  <si>
    <t>Pugmill P12 TO (323-2454) River Ranch Commercial Reserve C and D</t>
  </si>
  <si>
    <t>1938007786</t>
  </si>
  <si>
    <t>Pugmill P12 TO (323-2062) PAVLOVA PASS PH 1 and ARTAVIA SEC 43</t>
  </si>
  <si>
    <t>1938007802</t>
  </si>
  <si>
    <t>1938008012</t>
  </si>
  <si>
    <t>Pugmill P12 TO (323-2447) Spring High School Early Package 2</t>
  </si>
  <si>
    <t>1938008023</t>
  </si>
  <si>
    <t>1938008048</t>
  </si>
  <si>
    <t>Pugmill P12 TO (323-1694) CISD Junior High FM 1314</t>
  </si>
  <si>
    <t>1938008066</t>
  </si>
  <si>
    <t>Pugmill P12 TO (323-2690) SYNOVA SEC 4 - WSD</t>
  </si>
  <si>
    <t>1938008181</t>
  </si>
  <si>
    <t>Pugmill P12 TO (323-2414) SYNOVA ST DED-RES SEC 2</t>
  </si>
  <si>
    <t>1938008201</t>
  </si>
  <si>
    <t>Pugmill P12 TO (323-320) Lift Sta to Serve Harmony Cove Within Intctnl MUD</t>
  </si>
  <si>
    <t>1938008217</t>
  </si>
  <si>
    <t>Pugmill P12 TO (323-2888) Pelly Place Section 4</t>
  </si>
  <si>
    <t>1938008240</t>
  </si>
  <si>
    <t>1938008262</t>
  </si>
  <si>
    <t>1938008282</t>
  </si>
  <si>
    <t>1938008289</t>
  </si>
  <si>
    <t>1938008310</t>
  </si>
  <si>
    <t>1938008329</t>
  </si>
  <si>
    <t>1938008347</t>
  </si>
  <si>
    <t>1938008360</t>
  </si>
  <si>
    <t>Pugmill P12 TO (323-1041) CISD Caney Creek 9th Grade Center</t>
  </si>
  <si>
    <t>1938008373</t>
  </si>
  <si>
    <t>1938008387</t>
  </si>
  <si>
    <t>1937009436</t>
  </si>
  <si>
    <t>D267</t>
  </si>
  <si>
    <t>R005944</t>
  </si>
  <si>
    <t>1937009472</t>
  </si>
  <si>
    <t>Pugmill P11 TO (323-1833) 610 Business Park PH II</t>
  </si>
  <si>
    <t>1937009497</t>
  </si>
  <si>
    <t>1971007844</t>
  </si>
  <si>
    <t>1971007893</t>
  </si>
  <si>
    <t>1971007914</t>
  </si>
  <si>
    <t>1971007959</t>
  </si>
  <si>
    <t>1971007995</t>
  </si>
  <si>
    <t>1971008034</t>
  </si>
  <si>
    <t>1971008078</t>
  </si>
  <si>
    <t>1971008122</t>
  </si>
  <si>
    <t>1971008142</t>
  </si>
  <si>
    <t>1971008156</t>
  </si>
  <si>
    <t>1971008174</t>
  </si>
  <si>
    <t>1971008178</t>
  </si>
  <si>
    <t>1971008191</t>
  </si>
  <si>
    <t>1971008215</t>
  </si>
  <si>
    <t>1971008305</t>
  </si>
  <si>
    <t>1931013628</t>
  </si>
  <si>
    <t>D277</t>
  </si>
  <si>
    <t>R005913</t>
  </si>
  <si>
    <t>1931013645</t>
  </si>
  <si>
    <t>1931013663</t>
  </si>
  <si>
    <t>Pugmill P6 TO (323-167) 323-167</t>
  </si>
  <si>
    <t>1931013690</t>
  </si>
  <si>
    <t>1931013714</t>
  </si>
  <si>
    <t>1931013733</t>
  </si>
  <si>
    <t>1931013768</t>
  </si>
  <si>
    <t>1931013786</t>
  </si>
  <si>
    <t>1931013899</t>
  </si>
  <si>
    <t>1931013922</t>
  </si>
  <si>
    <t>Pugmill P6 TO (323-397) Clay/2nd St Sidewalk &amp; Drainage Imprv</t>
  </si>
  <si>
    <t>1931013947</t>
  </si>
  <si>
    <t>1931013985</t>
  </si>
  <si>
    <t xml:space="preserve">Pugmill P6 TO (323-566) McCrary Rd Reconstruction &amp; Widening </t>
  </si>
  <si>
    <t>1931014011</t>
  </si>
  <si>
    <t>1931014026</t>
  </si>
  <si>
    <t>1931014060</t>
  </si>
  <si>
    <t>1931014126</t>
  </si>
  <si>
    <t>1931014145</t>
  </si>
  <si>
    <t>1931014160</t>
  </si>
  <si>
    <t>1931014184</t>
  </si>
  <si>
    <t>1931014196</t>
  </si>
  <si>
    <t>1931014213</t>
  </si>
  <si>
    <t>1934014132</t>
  </si>
  <si>
    <t>D290</t>
  </si>
  <si>
    <t>Pugmill P8 TO (323-617) UH Loop Road</t>
  </si>
  <si>
    <t>R005915</t>
  </si>
  <si>
    <t>1937009421</t>
  </si>
  <si>
    <t>D30</t>
  </si>
  <si>
    <t>R005935</t>
  </si>
  <si>
    <t>1937009448</t>
  </si>
  <si>
    <t>1937009484</t>
  </si>
  <si>
    <t>1972004348</t>
  </si>
  <si>
    <t>1972004356</t>
  </si>
  <si>
    <t>1972004372</t>
  </si>
  <si>
    <t>1972004385</t>
  </si>
  <si>
    <t>1972004400</t>
  </si>
  <si>
    <t>1972004407</t>
  </si>
  <si>
    <t>1972004427</t>
  </si>
  <si>
    <t>Pugmill P15 TO (323-2055) A CONST 302 MCCARTY 77029</t>
  </si>
  <si>
    <t>1972004505</t>
  </si>
  <si>
    <t>1972004517</t>
  </si>
  <si>
    <t>1972004610</t>
  </si>
  <si>
    <t>1972004614</t>
  </si>
  <si>
    <t>1972004630</t>
  </si>
  <si>
    <t>1972004640</t>
  </si>
  <si>
    <t>1972004651</t>
  </si>
  <si>
    <t>1972004665</t>
  </si>
  <si>
    <t>1972004680</t>
  </si>
  <si>
    <t>1972004701</t>
  </si>
  <si>
    <t>1972004713</t>
  </si>
  <si>
    <t>Pugmill P15 TO (323-518) Stanfford Centre Business Park</t>
  </si>
  <si>
    <t>1972004728</t>
  </si>
  <si>
    <t>1972004747</t>
  </si>
  <si>
    <t>1972004764</t>
  </si>
  <si>
    <t>1972004775</t>
  </si>
  <si>
    <t>1975001872</t>
  </si>
  <si>
    <t>Pugmill P16 TO (323-1956) Sienna Sec 76</t>
  </si>
  <si>
    <t>1975001888</t>
  </si>
  <si>
    <t>Pugmill P16 TO (323-2221) Windsor</t>
  </si>
  <si>
    <t>1975001901</t>
  </si>
  <si>
    <t>1975001917</t>
  </si>
  <si>
    <t>1975001936</t>
  </si>
  <si>
    <t>Pugmill P16 TO (323-2986) Preservation Creek Phase 1 Section 1</t>
  </si>
  <si>
    <t>1975001948</t>
  </si>
  <si>
    <t>1975001970</t>
  </si>
  <si>
    <t>1975001988</t>
  </si>
  <si>
    <t>1937009186</t>
  </si>
  <si>
    <t>D35</t>
  </si>
  <si>
    <t>R005927</t>
  </si>
  <si>
    <t>1937009220</t>
  </si>
  <si>
    <t>1937009244</t>
  </si>
  <si>
    <t>1937009265</t>
  </si>
  <si>
    <t>1937009296</t>
  </si>
  <si>
    <t>1937009330</t>
  </si>
  <si>
    <t>Pugmill P11 TO (323-1203) Trammel Fresno Road Sewer Main</t>
  </si>
  <si>
    <t>1937009353</t>
  </si>
  <si>
    <t>1937009372</t>
  </si>
  <si>
    <t>1937009395</t>
  </si>
  <si>
    <t>1937009531</t>
  </si>
  <si>
    <t>1937009538</t>
  </si>
  <si>
    <t>1937009558</t>
  </si>
  <si>
    <t>1937009581</t>
  </si>
  <si>
    <t>1937009600</t>
  </si>
  <si>
    <t>1937009622</t>
  </si>
  <si>
    <t>Pugmill P11 TO (323-2313) Huntington Place 7</t>
  </si>
  <si>
    <t>1937009661</t>
  </si>
  <si>
    <t>1937009678</t>
  </si>
  <si>
    <t>1937009702</t>
  </si>
  <si>
    <t>Pugmill P11 TO (323-3051) Long Point Creek - FT BEND-DARBY</t>
  </si>
  <si>
    <t>1937009714</t>
  </si>
  <si>
    <t>Pugmill P11 TO (323-1857) METRO Boost 56 Airline-Pressler</t>
  </si>
  <si>
    <t>1937009736</t>
  </si>
  <si>
    <t>Pugmill P11 TO (323-1389) TXDOT - G.CO. - FM 518 IMPR</t>
  </si>
  <si>
    <t>1937009758</t>
  </si>
  <si>
    <t>1937009799</t>
  </si>
  <si>
    <t>Pugmill P11 TO (323-3071) Pedregal South DETENTION POND</t>
  </si>
  <si>
    <t>1937009826</t>
  </si>
  <si>
    <t>Pugmill P11 TO (323-356) The Edge Industrial Park - Pearland - Phase 1</t>
  </si>
  <si>
    <t>1937009846</t>
  </si>
  <si>
    <t>Pugmill P11 TO (323-2881) Park 8 Public Roads</t>
  </si>
  <si>
    <t>1937009871</t>
  </si>
  <si>
    <t>Pugmill P11 TO (323-3048) MERIDIANA SEC 26A</t>
  </si>
  <si>
    <t>1937009889</t>
  </si>
  <si>
    <t>1937009906</t>
  </si>
  <si>
    <t>1937009920</t>
  </si>
  <si>
    <t>1937009197</t>
  </si>
  <si>
    <t>D36</t>
  </si>
  <si>
    <t>R005928</t>
  </si>
  <si>
    <t>1937009222</t>
  </si>
  <si>
    <t>1937009245</t>
  </si>
  <si>
    <t>1937009264</t>
  </si>
  <si>
    <t>1937009331</t>
  </si>
  <si>
    <t>1937009352</t>
  </si>
  <si>
    <t>1937009370</t>
  </si>
  <si>
    <t>1937009392</t>
  </si>
  <si>
    <t>1937009473</t>
  </si>
  <si>
    <t>1937009567</t>
  </si>
  <si>
    <t>1937009589</t>
  </si>
  <si>
    <t>1937009606</t>
  </si>
  <si>
    <t>1937009633</t>
  </si>
  <si>
    <t>1937009840</t>
  </si>
  <si>
    <t>1937009862</t>
  </si>
  <si>
    <t>Pugmill P11 TO (323-1003) City of Pearland Hillhouse Service Center</t>
  </si>
  <si>
    <t>1937009882</t>
  </si>
  <si>
    <t>1937009899</t>
  </si>
  <si>
    <t>Pugmill P11 TO (323-19) MD Anderson Consolidated Service Center</t>
  </si>
  <si>
    <t>1975001951</t>
  </si>
  <si>
    <t>Pugmill P16 TO (323-3111) BAYBRIAR - SIDEWALK PROGRAM PKG 4</t>
  </si>
  <si>
    <t>1975001968</t>
  </si>
  <si>
    <t>1931014747</t>
  </si>
  <si>
    <t>D43</t>
  </si>
  <si>
    <t>R005938</t>
  </si>
  <si>
    <t>1931014775</t>
  </si>
  <si>
    <t>1931014809</t>
  </si>
  <si>
    <t>1931014853</t>
  </si>
  <si>
    <t>1931014908</t>
  </si>
  <si>
    <t>1931014928</t>
  </si>
  <si>
    <t>1931014954</t>
  </si>
  <si>
    <t>1937009423</t>
  </si>
  <si>
    <t>D45</t>
  </si>
  <si>
    <t>R005941</t>
  </si>
  <si>
    <t>1937009462</t>
  </si>
  <si>
    <t>Pugmill P11 TO (323-2065) Jessup Elementary School</t>
  </si>
  <si>
    <t>1937009496</t>
  </si>
  <si>
    <t>1972004770</t>
  </si>
  <si>
    <t>1975001878</t>
  </si>
  <si>
    <t>1975001891</t>
  </si>
  <si>
    <t>1975001909</t>
  </si>
  <si>
    <t>Pugmill P16 TO (323-518) Stanfford Centre Business Park</t>
  </si>
  <si>
    <t>1975001932</t>
  </si>
  <si>
    <t>Pugmill P16 TO (323-2876) Preervation Creek MODEL VILLAGE-ALVIN</t>
  </si>
  <si>
    <t>1975001944</t>
  </si>
  <si>
    <t>1975001960</t>
  </si>
  <si>
    <t>Pugmill P16 TO (323-512) MD Anderson South Parking Garage</t>
  </si>
  <si>
    <t>1975001982</t>
  </si>
  <si>
    <t>1973021642</t>
  </si>
  <si>
    <t>D49</t>
  </si>
  <si>
    <t>R005919</t>
  </si>
  <si>
    <t>1973021655</t>
  </si>
  <si>
    <t>1973021686</t>
  </si>
  <si>
    <t>1973021742</t>
  </si>
  <si>
    <t>1973021755</t>
  </si>
  <si>
    <t>1973021799</t>
  </si>
  <si>
    <t>1973021831</t>
  </si>
  <si>
    <t>Pugmill P3 TO (323-2962) 323-2962</t>
  </si>
  <si>
    <t>1973021870</t>
  </si>
  <si>
    <t>1973021926</t>
  </si>
  <si>
    <t>1973021980</t>
  </si>
  <si>
    <t>1973022011</t>
  </si>
  <si>
    <t>1973022037</t>
  </si>
  <si>
    <t>Pugmill P3 TO (323-1142) Lamar CISD High School 8</t>
  </si>
  <si>
    <t>1973022081</t>
  </si>
  <si>
    <t>1973022107</t>
  </si>
  <si>
    <t>1973022171</t>
  </si>
  <si>
    <t>1973022207</t>
  </si>
  <si>
    <t>1973022225</t>
  </si>
  <si>
    <t>Pugmill P3 TO (323-2460) JORDAN RANCH SEC 50</t>
  </si>
  <si>
    <t>1973022257</t>
  </si>
  <si>
    <t>1973022372</t>
  </si>
  <si>
    <t>1973022418</t>
  </si>
  <si>
    <t>1973022457</t>
  </si>
  <si>
    <t>1973022561</t>
  </si>
  <si>
    <t>1973022590</t>
  </si>
  <si>
    <t>1973022607</t>
  </si>
  <si>
    <t>1973022632</t>
  </si>
  <si>
    <t>1973022658</t>
  </si>
  <si>
    <t>1973022688</t>
  </si>
  <si>
    <t>1973022705</t>
  </si>
  <si>
    <t>1973022742</t>
  </si>
  <si>
    <t>1973022785</t>
  </si>
  <si>
    <t>1973022815</t>
  </si>
  <si>
    <t>1973022857</t>
  </si>
  <si>
    <t>1973022895</t>
  </si>
  <si>
    <t>1973022930</t>
  </si>
  <si>
    <t>1973022953</t>
  </si>
  <si>
    <t>1937009172</t>
  </si>
  <si>
    <t>D61</t>
  </si>
  <si>
    <t>R005929</t>
  </si>
  <si>
    <t>1937009225</t>
  </si>
  <si>
    <t>1937009248</t>
  </si>
  <si>
    <t>1937009275</t>
  </si>
  <si>
    <t>Pugmill P11 TO (323-1265) TXDOT-H.CO-UA-90 - 0027-10-077 - O.S.T.</t>
  </si>
  <si>
    <t>1937009305</t>
  </si>
  <si>
    <t>1937009318</t>
  </si>
  <si>
    <t>1937009348</t>
  </si>
  <si>
    <t>1937009362</t>
  </si>
  <si>
    <t>1937009390</t>
  </si>
  <si>
    <t>1937009408</t>
  </si>
  <si>
    <t>1937009433</t>
  </si>
  <si>
    <t>1937009463</t>
  </si>
  <si>
    <t>1937009487</t>
  </si>
  <si>
    <t>1937009514</t>
  </si>
  <si>
    <t>1937009546</t>
  </si>
  <si>
    <t>1937009563</t>
  </si>
  <si>
    <t>1937009582</t>
  </si>
  <si>
    <t>1937009605</t>
  </si>
  <si>
    <t>1937009621</t>
  </si>
  <si>
    <t>1937009775</t>
  </si>
  <si>
    <t>1937009796</t>
  </si>
  <si>
    <t>1937009822</t>
  </si>
  <si>
    <t>1937009842</t>
  </si>
  <si>
    <t>1937009868</t>
  </si>
  <si>
    <t>1937009890</t>
  </si>
  <si>
    <t>1937009903</t>
  </si>
  <si>
    <t>1973021705</t>
  </si>
  <si>
    <t>D71</t>
  </si>
  <si>
    <t>R005932</t>
  </si>
  <si>
    <t>1973021760</t>
  </si>
  <si>
    <t>Pugmill P3 TO (323-1451) Lift Station No. 19 - HCMUD 165</t>
  </si>
  <si>
    <t>1973021784</t>
  </si>
  <si>
    <t>1973021844</t>
  </si>
  <si>
    <t>1973021882</t>
  </si>
  <si>
    <t>1973021904</t>
  </si>
  <si>
    <t>1973021945</t>
  </si>
  <si>
    <t>1973021974</t>
  </si>
  <si>
    <t>1973019738</t>
  </si>
  <si>
    <t>D76</t>
  </si>
  <si>
    <t>Pugmill P3 TO (323-2775) Hockley Meadows Drive St. Dedication</t>
  </si>
  <si>
    <t>R005916</t>
  </si>
  <si>
    <t>07-31-2025 to 08-06-2025</t>
  </si>
  <si>
    <t>1973021645</t>
  </si>
  <si>
    <t>1973021673</t>
  </si>
  <si>
    <t>1973021689</t>
  </si>
  <si>
    <t>1973021734</t>
  </si>
  <si>
    <t>1973021762</t>
  </si>
  <si>
    <t>1973021801</t>
  </si>
  <si>
    <t>Pugmill P3 TO (323-2098) Fulshear Bend  Drive St Ded 3</t>
  </si>
  <si>
    <t>1973021853</t>
  </si>
  <si>
    <t>1973021890</t>
  </si>
  <si>
    <t>1973021933</t>
  </si>
  <si>
    <t>1973021965</t>
  </si>
  <si>
    <t>1973021977</t>
  </si>
  <si>
    <t>Pugmill P3 TO (323-2990) Cinco Mud 8</t>
  </si>
  <si>
    <t>1973022017</t>
  </si>
  <si>
    <t>1973022045</t>
  </si>
  <si>
    <t>1973022090</t>
  </si>
  <si>
    <t>1973022113</t>
  </si>
  <si>
    <t>1973022135</t>
  </si>
  <si>
    <t>1973022161</t>
  </si>
  <si>
    <t>1973022172</t>
  </si>
  <si>
    <t>1973022205</t>
  </si>
  <si>
    <t>1973022220</t>
  </si>
  <si>
    <t>1973022249</t>
  </si>
  <si>
    <t>1973022277</t>
  </si>
  <si>
    <t>Pugmill P3 TO (323-2625) Colonial Pkwy Plaza</t>
  </si>
  <si>
    <t>1973022299</t>
  </si>
  <si>
    <t>1973022325</t>
  </si>
  <si>
    <t>1973022365</t>
  </si>
  <si>
    <t>1973022389</t>
  </si>
  <si>
    <t>1973022439</t>
  </si>
  <si>
    <t>Pugmill P3 TO (323-576) Reserve at Katy Hockley Sec 1</t>
  </si>
  <si>
    <t>1973022466</t>
  </si>
  <si>
    <t>1973022512</t>
  </si>
  <si>
    <t>1973022537</t>
  </si>
  <si>
    <t>1973022560</t>
  </si>
  <si>
    <t>1973022597</t>
  </si>
  <si>
    <t>1973022621</t>
  </si>
  <si>
    <t>Pugmill P3 TO (323-2181) ST FAUSTINA</t>
  </si>
  <si>
    <t>1973022644</t>
  </si>
  <si>
    <t>1973022661</t>
  </si>
  <si>
    <t>1973022675</t>
  </si>
  <si>
    <t>1973022690</t>
  </si>
  <si>
    <t>1973022707</t>
  </si>
  <si>
    <t>1973022735</t>
  </si>
  <si>
    <t>1931014769</t>
  </si>
  <si>
    <t>D85</t>
  </si>
  <si>
    <t>R005939</t>
  </si>
  <si>
    <t>1931014800</t>
  </si>
  <si>
    <t>1931014837</t>
  </si>
  <si>
    <t>1931014877</t>
  </si>
  <si>
    <t>1931014909</t>
  </si>
  <si>
    <t>Pugmill P6 TO (323-2181) ST FAUSTINA</t>
  </si>
  <si>
    <t>1971007838</t>
  </si>
  <si>
    <t>D88</t>
  </si>
  <si>
    <t>R005926</t>
  </si>
  <si>
    <t>1971007882</t>
  </si>
  <si>
    <t>1971007900</t>
  </si>
  <si>
    <t>1971007922</t>
  </si>
  <si>
    <t>1971007934</t>
  </si>
  <si>
    <t>1971007951</t>
  </si>
  <si>
    <t>1971007973</t>
  </si>
  <si>
    <t>1971007990</t>
  </si>
  <si>
    <t>1971008016</t>
  </si>
  <si>
    <t>1971008043</t>
  </si>
  <si>
    <t>1971008363</t>
  </si>
  <si>
    <t>1971008391</t>
  </si>
  <si>
    <t>1971008412</t>
  </si>
  <si>
    <t>1971008425</t>
  </si>
  <si>
    <t>1971008447</t>
  </si>
  <si>
    <t>Pugmill P13 TO (323-2462) AG Barn-9th Ave N - Texas City ISD</t>
  </si>
  <si>
    <t>1971008480</t>
  </si>
  <si>
    <t>1971007861</t>
  </si>
  <si>
    <t>D95</t>
  </si>
  <si>
    <t>R005925</t>
  </si>
  <si>
    <t>1971007872</t>
  </si>
  <si>
    <t>1971007894</t>
  </si>
  <si>
    <t>1971007929</t>
  </si>
  <si>
    <t>1971008088</t>
  </si>
  <si>
    <t>1971008108</t>
  </si>
  <si>
    <t>1971008209</t>
  </si>
  <si>
    <t>1971008220</t>
  </si>
  <si>
    <t>1971008251</t>
  </si>
  <si>
    <t>1971008270</t>
  </si>
  <si>
    <t>1971008290</t>
  </si>
  <si>
    <t>1971008308</t>
  </si>
  <si>
    <t>1971008326</t>
  </si>
  <si>
    <t>Pugmill P13 TO (323-1066) Lake Mija Section 4</t>
  </si>
  <si>
    <t>1971008354</t>
  </si>
  <si>
    <t>1971008374</t>
  </si>
  <si>
    <t>1971008385</t>
  </si>
  <si>
    <t>1971008419</t>
  </si>
  <si>
    <t>1971008437</t>
  </si>
  <si>
    <t>1971008456</t>
  </si>
  <si>
    <t>Bonus</t>
  </si>
  <si>
    <t>Toll</t>
  </si>
  <si>
    <t>Fuel</t>
  </si>
  <si>
    <t>Total</t>
  </si>
  <si>
    <t>70049783</t>
  </si>
  <si>
    <t>D06</t>
  </si>
  <si>
    <t>Pugmill P14 TO (51623) 51623</t>
  </si>
  <si>
    <t>12-01-2023 to 12-07-2023</t>
  </si>
  <si>
    <t>70056058</t>
  </si>
  <si>
    <t>Pugmill P14 TO (51626) 51626</t>
  </si>
  <si>
    <t>01-26-2024 TO 02-01-2024</t>
  </si>
  <si>
    <t>72030321</t>
  </si>
  <si>
    <t>D10</t>
  </si>
  <si>
    <t>Pugmill P5 TO (52374) 52374</t>
  </si>
  <si>
    <t>01-12-2024 TO 01-18-2024</t>
  </si>
  <si>
    <t>30030280</t>
  </si>
  <si>
    <t>D100</t>
  </si>
  <si>
    <t>Pugmill P5 TO (66153) WILSONS GULLY - UPTOWN</t>
  </si>
  <si>
    <t>10-25-2024 to 10-31-2024</t>
  </si>
  <si>
    <t>37121787</t>
  </si>
  <si>
    <t>Pugmill P11 TO (90740) TXDOT - FT. BEND - UA 90 - CONTR # 0027-08-180</t>
  </si>
  <si>
    <t>05-17-2024 to 05-23-2024</t>
  </si>
  <si>
    <t>37145461</t>
  </si>
  <si>
    <t>Pugmill P11 TO (116751) CNP Alvin Substation</t>
  </si>
  <si>
    <t>03-07-2025 to 03-13-2025</t>
  </si>
  <si>
    <t>37145471</t>
  </si>
  <si>
    <t>Pugmill P11 TO (88048) 88048</t>
  </si>
  <si>
    <t>37145487</t>
  </si>
  <si>
    <t>37145501</t>
  </si>
  <si>
    <t>Pugmill P11 TO (87048) Sky View Sec 1</t>
  </si>
  <si>
    <t>37145516</t>
  </si>
  <si>
    <t>Pugmill P11 TO (110858) French Quarter Subdivision</t>
  </si>
  <si>
    <t>37145523</t>
  </si>
  <si>
    <t>Pugmill P11 TO (115947) Mud 57 South Inspiration Way WSD</t>
  </si>
  <si>
    <t>37145529</t>
  </si>
  <si>
    <t>72024920</t>
  </si>
  <si>
    <t>D101</t>
  </si>
  <si>
    <t>Pugmill P15 TO (83505) JS Post Oak</t>
  </si>
  <si>
    <t>09-15-2023 to 09-21-2023</t>
  </si>
  <si>
    <t>72028702</t>
  </si>
  <si>
    <t>Pugmill P15 TO (94938) 610/228/SCOTT - wall 20 &amp; 21 - TXDOT HARRIS CO.</t>
  </si>
  <si>
    <t>1937005752</t>
  </si>
  <si>
    <t>07-10-2025 to 07-16-2025</t>
  </si>
  <si>
    <t>37145540</t>
  </si>
  <si>
    <t>Pugmill P11 TO (116868) Davis Harbor WSD</t>
  </si>
  <si>
    <t>37145566</t>
  </si>
  <si>
    <t>Pugmill P11 TO (113260) Tiara Condos</t>
  </si>
  <si>
    <t>37145595</t>
  </si>
  <si>
    <t>71051040</t>
  </si>
  <si>
    <t>Pugmill P13 TO (91070) TXDOT SH 146 &amp; 10th st</t>
  </si>
  <si>
    <t>08-25-2023 TO 08-31-2023</t>
  </si>
  <si>
    <t>08-25-2023 to 08-31-2023</t>
  </si>
  <si>
    <t>71069694</t>
  </si>
  <si>
    <t>Pugmill P13 TO (103825) Beacon Point - Lago Mar Sec 3</t>
  </si>
  <si>
    <t>09-27-2024 to 10-03-2024</t>
  </si>
  <si>
    <t>71077759</t>
  </si>
  <si>
    <t>Pugmill P13 TO (109717) 109717</t>
  </si>
  <si>
    <t>71077776</t>
  </si>
  <si>
    <t>Pugmill P13 TO (118447) 118447</t>
  </si>
  <si>
    <t>71077798</t>
  </si>
  <si>
    <t>Pugmill P13 TO (116947) 116947</t>
  </si>
  <si>
    <t>71077812</t>
  </si>
  <si>
    <t>Pugmill P13 TO (39108) TXDOT Harris Co. SH146</t>
  </si>
  <si>
    <t>71077840</t>
  </si>
  <si>
    <t>Pugmill P13 TO (120901) 120901</t>
  </si>
  <si>
    <t>71077870</t>
  </si>
  <si>
    <t>Pugmill P13 TO (114551) LEGACY SEC 6</t>
  </si>
  <si>
    <t>71077885</t>
  </si>
  <si>
    <t>Pugmill P13 TO (112350) LEGACY Drive Offsite Drainage</t>
  </si>
  <si>
    <t>71077892</t>
  </si>
  <si>
    <t>Pugmill P13 TO (113260) Tiara Condos</t>
  </si>
  <si>
    <t>71077919</t>
  </si>
  <si>
    <t xml:space="preserve">Pugmill P13 TO (88944) alvin boat &amp; rv storage </t>
  </si>
  <si>
    <t>71077929</t>
  </si>
  <si>
    <t>Pugmill P13 TO (100465) Texas City ISD La Marque High School Replacement</t>
  </si>
  <si>
    <t>71077951</t>
  </si>
  <si>
    <t>Pugmill P13 TO (113558) TXDOT-H.CO.- HWY-CS-FM 528 - 0912-72-541</t>
  </si>
  <si>
    <t>71077972</t>
  </si>
  <si>
    <t>71077979</t>
  </si>
  <si>
    <t>Pugmill P13 TO (117303) 117303</t>
  </si>
  <si>
    <t>71078004</t>
  </si>
  <si>
    <t>71078008</t>
  </si>
  <si>
    <t>Pugmill P13 TO (115045) Miramar</t>
  </si>
  <si>
    <t>71078034</t>
  </si>
  <si>
    <t>71078045</t>
  </si>
  <si>
    <t>71078065</t>
  </si>
  <si>
    <t>71078077</t>
  </si>
  <si>
    <t>71078096</t>
  </si>
  <si>
    <t>Pugmill P13 TO (119156) 119156</t>
  </si>
  <si>
    <t>71078111</t>
  </si>
  <si>
    <t>71078128</t>
  </si>
  <si>
    <t>71078143</t>
  </si>
  <si>
    <t>Pugmill P13 TO (116868) Davis Harbor WSD</t>
  </si>
  <si>
    <t>71078161</t>
  </si>
  <si>
    <t>71078187</t>
  </si>
  <si>
    <t>Pugmill P13 TO (121319) 121319</t>
  </si>
  <si>
    <t>71078205</t>
  </si>
  <si>
    <t>Pugmill P13 TO (116512) Legacy Section 3</t>
  </si>
  <si>
    <t>71078216</t>
  </si>
  <si>
    <t>71078229</t>
  </si>
  <si>
    <t>Pugmill P13 TO (51858) Hourly Standby Time</t>
  </si>
  <si>
    <t>71078236</t>
  </si>
  <si>
    <t>71078253</t>
  </si>
  <si>
    <t>71078258</t>
  </si>
  <si>
    <t>Pugmill P13 TO (89040) City of La Porte</t>
  </si>
  <si>
    <t>71078281</t>
  </si>
  <si>
    <t>71078299</t>
  </si>
  <si>
    <t>Pugmill P13 TO (118426) 118426</t>
  </si>
  <si>
    <t>71078311</t>
  </si>
  <si>
    <t>31092582</t>
  </si>
  <si>
    <t>D11</t>
  </si>
  <si>
    <t>Pugmill P6 TO (86017) ILTexas Richmond K-8 School</t>
  </si>
  <si>
    <t>02-02-2024 to 02-08-2024</t>
  </si>
  <si>
    <t>32058302</t>
  </si>
  <si>
    <t>D113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</si>
  <si>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</si>
  <si>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</si>
  <si>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</si>
  <si>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</si>
  <si>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</si>
  <si>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</si>
  <si>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32084383</t>
  </si>
  <si>
    <t>Pugmill P7 TO (110334) Urbana Yardhomes</t>
  </si>
  <si>
    <t>10-18-2024 to 10-24-2024</t>
  </si>
  <si>
    <t>38044199</t>
  </si>
  <si>
    <t>Pugmill P12 TO (81413) Astaire Pkwy PH 2 &amp; Artavia Sec 23</t>
  </si>
  <si>
    <t>38045362</t>
  </si>
  <si>
    <t>Pugmill P12 TO (95728) Artavia-Aspire Way Ph 3 &amp; La Strada Dr</t>
  </si>
  <si>
    <t>38069421</t>
  </si>
  <si>
    <t>Pugmill P12 TO (116350) 116350</t>
  </si>
  <si>
    <t>38069441</t>
  </si>
  <si>
    <t>38069464</t>
  </si>
  <si>
    <t>38069488</t>
  </si>
  <si>
    <t>Pugmill P12 TO (115911) 115911</t>
  </si>
  <si>
    <t>71048272</t>
  </si>
  <si>
    <t>D118</t>
  </si>
  <si>
    <t>Pugmill P13 TO (82244) Sunrise Cove Sec 1</t>
  </si>
  <si>
    <t>06-30-2023 TO 07-06-2023</t>
  </si>
  <si>
    <t>71060915</t>
  </si>
  <si>
    <t>Pugmill P13 TO (98834) Lakes at Westland Ranch Section 6</t>
  </si>
  <si>
    <t>03-28-2024 TO 04-04-2024</t>
  </si>
  <si>
    <t>1932004838</t>
  </si>
  <si>
    <t>D12</t>
  </si>
  <si>
    <t>Pugmill P7 TO (323-2655) 323-2655</t>
  </si>
  <si>
    <t>07-17-2025 to 07-23-2025</t>
  </si>
  <si>
    <t>1932004994</t>
  </si>
  <si>
    <t>Pugmill P7 TO (323-157) Prose Grant Road Apartaments</t>
  </si>
  <si>
    <t>32056126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</si>
  <si>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</si>
  <si>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</si>
  <si>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</si>
  <si>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</si>
  <si>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</si>
  <si>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</si>
  <si>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</si>
  <si>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32067227</t>
  </si>
  <si>
    <t>Pugmill P7 TO (99655) Intercontinental Watwrline &amp; Detention Pond No 2</t>
  </si>
  <si>
    <t>1936000524</t>
  </si>
  <si>
    <t>D121</t>
  </si>
  <si>
    <t>Pugmill P10 TO (323-1233) Mill Creek Estates Section 8 WSD&amp;P</t>
  </si>
  <si>
    <t>05-08-2025 to 05-14-2025</t>
  </si>
  <si>
    <t>1936002049</t>
  </si>
  <si>
    <t>Pugmill P10 TO (323-1193) Mill Creek Estates Boulevard - Phase I</t>
  </si>
  <si>
    <t>05-22-2025 to 05-28-2025</t>
  </si>
  <si>
    <t>32065471</t>
  </si>
  <si>
    <t>Pugmill P7 TO (16583) 16583</t>
  </si>
  <si>
    <t>12-15-2023 TO 12-20-2023</t>
  </si>
  <si>
    <t>36105423</t>
  </si>
  <si>
    <t>Pugmill P10 TO (105063) BLUEJACK NATIONAL PH 1A</t>
  </si>
  <si>
    <t>02-28-2025 TO 03-06-2025</t>
  </si>
  <si>
    <t>36107989</t>
  </si>
  <si>
    <t>Pugmill P10 TO (114922) 114922</t>
  </si>
  <si>
    <t>04-04-2025 to 04-10-2025</t>
  </si>
  <si>
    <t>36108229</t>
  </si>
  <si>
    <t>71065927</t>
  </si>
  <si>
    <t>D122</t>
  </si>
  <si>
    <t>Pugmill P13 TO (97824) TXDOT - G.CO. - FM 518 IMPR - 0976-03-109</t>
  </si>
  <si>
    <t>06-21-2024 to 06-27-2024</t>
  </si>
  <si>
    <t>1972002950</t>
  </si>
  <si>
    <t>Pugmill P15 TO (323-2325) SIENNA 81</t>
  </si>
  <si>
    <t>06-26-2025 to 07-02-2025</t>
  </si>
  <si>
    <t>70054428</t>
  </si>
  <si>
    <t>Pugmill P14 TO (90489) Laurel Farms 1 WSD &amp; Paving</t>
  </si>
  <si>
    <t>70055152</t>
  </si>
  <si>
    <t>Pugmill P14 TO (97729) Texas Richmond K-8 School</t>
  </si>
  <si>
    <t>01-19-2024 to 01-25-2024</t>
  </si>
  <si>
    <t>34113300</t>
  </si>
  <si>
    <t>D13</t>
  </si>
  <si>
    <t>Pugmill P8 TO (88297) 88297</t>
  </si>
  <si>
    <t>1930001915</t>
  </si>
  <si>
    <t>Pugmill P5 TO (323-1052) VIDA MAR SEC 1 WSD</t>
  </si>
  <si>
    <t>08-07-2025 to 08-13-2025</t>
  </si>
  <si>
    <t>1972003006</t>
  </si>
  <si>
    <t>Pugmill P15 TO (323-1320) 323-1320</t>
  </si>
  <si>
    <t>30025792</t>
  </si>
  <si>
    <t>D131</t>
  </si>
  <si>
    <t>Pugmill P5 TO (98733) Harper/ Fountain View Dr 77057</t>
  </si>
  <si>
    <t>05-24-2024 to 05-30-2024</t>
  </si>
  <si>
    <t>45010893</t>
  </si>
  <si>
    <t>Pugmill P4 TO (54870) FBCTRA Segment B-2 @ Sienna Pkwy - BETO</t>
  </si>
  <si>
    <t>07-07-2023 TO 07-13-2023</t>
  </si>
  <si>
    <t>72044508</t>
  </si>
  <si>
    <t>Pugmill P15 TO (63881) 63881</t>
  </si>
  <si>
    <t>08-23-2024 to 08-29-2024</t>
  </si>
  <si>
    <t>31103367</t>
  </si>
  <si>
    <t>D133</t>
  </si>
  <si>
    <t>Pugmill P6 TO (95518) KINGDOM HEIGHT SEC 8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</si>
  <si>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</si>
  <si>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</si>
  <si>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</si>
  <si>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</si>
  <si>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</si>
  <si>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1973017813</t>
  </si>
  <si>
    <t>Pugmill P3 TO (323-2639) NW 99 BUSINESS PARK SPEC 1</t>
  </si>
  <si>
    <t>07-24-2025 to 07-30-2025</t>
  </si>
  <si>
    <t>70048676</t>
  </si>
  <si>
    <t>Pugmill P14 TO (95982) Harvest Green Grainage &amp; Mass Grading Phase VI</t>
  </si>
  <si>
    <t>11-22-2023 TO 11-30-2023</t>
  </si>
  <si>
    <t>73010684</t>
  </si>
  <si>
    <t>Pugmill P3 TO (86006) Bridgeland Creekland Village 8</t>
  </si>
  <si>
    <t>1931009514</t>
  </si>
  <si>
    <t>Pugmill P6 TO (323-1704) Brentwood Farms sect 2 &amp; 3</t>
  </si>
  <si>
    <t>1973002737</t>
  </si>
  <si>
    <t>Pugmill P3 TO (323-746) Falcon Plaza</t>
  </si>
  <si>
    <t>70039232</t>
  </si>
  <si>
    <t>Pugmill P14 TO (84287) TX Dot FM 1463</t>
  </si>
  <si>
    <t>37123478</t>
  </si>
  <si>
    <t>D142</t>
  </si>
  <si>
    <t>Pugmill P11 TO (95053) FBC WC &amp; ID No 2 Surface Water Treatment Plant</t>
  </si>
  <si>
    <t>06-07-2024 to 06-13-2024</t>
  </si>
  <si>
    <t>70044724</t>
  </si>
  <si>
    <t>Pugmill P14 TO (86444) Summerview Det Ph 2</t>
  </si>
  <si>
    <t>10-27-2023 TO 11-02-2023</t>
  </si>
  <si>
    <t>1931001048</t>
  </si>
  <si>
    <t>Pugmill P6 TO (323-1078) Lamar ES #38 - Brookewater</t>
  </si>
  <si>
    <t>31129616</t>
  </si>
  <si>
    <t>Pugmill P6 TO (96732) TXDOT - WHARTON COUNTY, US 59</t>
  </si>
  <si>
    <t>02-07-2025 to 02-13-2025</t>
  </si>
  <si>
    <t>1931008596</t>
  </si>
  <si>
    <t>Pugmill P6 TO (323-2150) Brookewater Sec 10</t>
  </si>
  <si>
    <t>1931010867</t>
  </si>
  <si>
    <t>31097502</t>
  </si>
  <si>
    <t>D145</t>
  </si>
  <si>
    <t>Pugmill P6 TO (87951) Arabella on the Prairie Sec 3</t>
  </si>
  <si>
    <t>31119790</t>
  </si>
  <si>
    <t>Pugmill P6 TO (107445) Trillium 7</t>
  </si>
  <si>
    <t>31121425</t>
  </si>
  <si>
    <t>D151</t>
  </si>
  <si>
    <t>Pugmill P6 TO (104020) University BLVD</t>
  </si>
  <si>
    <t>31129788</t>
  </si>
  <si>
    <t>70052309</t>
  </si>
  <si>
    <t>D153</t>
  </si>
  <si>
    <t>Pugmill P14 TO (86443) Summerview Det Ph 2</t>
  </si>
  <si>
    <t>1931006746</t>
  </si>
  <si>
    <t>D154</t>
  </si>
  <si>
    <t>07-03-2025 to 07-09-2025</t>
  </si>
  <si>
    <t>1931007752</t>
  </si>
  <si>
    <t>71066654</t>
  </si>
  <si>
    <t>Pugmill P13 TO (88254) TOWNHAR BOUR ESTATES</t>
  </si>
  <si>
    <t>06-28-2024 TO 07-04-2024</t>
  </si>
  <si>
    <t>1973003054</t>
  </si>
  <si>
    <t>Pugmill P3 TO (323-1092) Elyson Phase 7 Overflow Motigation Basins</t>
  </si>
  <si>
    <t>1973005432</t>
  </si>
  <si>
    <t>Pugmill P3 TO (323-997) Sherwood Elementary - SBISD - SYLVESTER</t>
  </si>
  <si>
    <t>70033758</t>
  </si>
  <si>
    <t>D160</t>
  </si>
  <si>
    <t>Pugmill P14 TO (83849) TX Dot FM 1463</t>
  </si>
  <si>
    <t>1931005629</t>
  </si>
  <si>
    <t>D161</t>
  </si>
  <si>
    <t>Pugmill P6 TO (323-1257) Stonecreek Estates Sec 15 WSD</t>
  </si>
  <si>
    <t>70038825</t>
  </si>
  <si>
    <t>Pugmill P14 TO (88644) Candela 12 &amp; 13</t>
  </si>
  <si>
    <t>70038909</t>
  </si>
  <si>
    <t>Pugmill P14 TO (69031) TX Dot FM 1463</t>
  </si>
  <si>
    <t>70058421</t>
  </si>
  <si>
    <t>Pugmill P14 TO (93957) Harvest Green Sec 48 &amp; 49</t>
  </si>
  <si>
    <t>02-09-2024 TO 02-15-2024</t>
  </si>
  <si>
    <t>31097858</t>
  </si>
  <si>
    <t>D162</t>
  </si>
  <si>
    <t>Pugmill P6 TO (86316) Hallimore Ranch Det. Basin PH 1</t>
  </si>
  <si>
    <t>04-05-2024 to 04-11-2024</t>
  </si>
  <si>
    <t>31098173</t>
  </si>
  <si>
    <t>Pugmill P6 TO (97699) Hallimore Ranch 1 WSD</t>
  </si>
  <si>
    <t>31099544</t>
  </si>
  <si>
    <t>Pugmill P6 TO (97154) Harvest Green Sec 45 &amp; 50</t>
  </si>
  <si>
    <t>04-19-2024 to 04-25-2024</t>
  </si>
  <si>
    <t>70041512</t>
  </si>
  <si>
    <t>Pugmill P14 TO (87415) Harvest Green Sec 48 &amp; 49</t>
  </si>
  <si>
    <t>10-13-2023 to 10-19-2023</t>
  </si>
  <si>
    <t>70053861</t>
  </si>
  <si>
    <t>Pugmill P14 TO (97900) COH TDO Panel Replace ( Stafford Springs)</t>
  </si>
  <si>
    <t>01-05-2024 TO 01-11-2024</t>
  </si>
  <si>
    <t>70054335</t>
  </si>
  <si>
    <t>Pugmill P14 TO (98298) Jordan Ranch Sec 46 &amp; 47 WSD&amp;P</t>
  </si>
  <si>
    <t>70059059</t>
  </si>
  <si>
    <t>Pugmill P14 TO (97175) Tamarron West Sec 6</t>
  </si>
  <si>
    <t>02-16-2024 to 02-22-2024</t>
  </si>
  <si>
    <t>1973020757</t>
  </si>
  <si>
    <t>34130547</t>
  </si>
  <si>
    <t>Pugmill P8 TO (92201) Meadows Sec 6 at River Ranch Ph 3</t>
  </si>
  <si>
    <t>12-08-2023 to 12-14-2023</t>
  </si>
  <si>
    <t>34130586</t>
  </si>
  <si>
    <t>Pugmill P8 TO (74394) Fountainview Subdivision Drainage Improvements</t>
  </si>
  <si>
    <t>70060162</t>
  </si>
  <si>
    <t>Pugmill P14 TO (90740) TXDOT - FT. BEND - UA 90 - CONTR # 0027-08-180</t>
  </si>
  <si>
    <t>02-23-2024 TO 02-29-2024</t>
  </si>
  <si>
    <t>70063627</t>
  </si>
  <si>
    <t>Pugmill P14 TO (89243) Marvest Green Sec 44, 46 &amp; 47 WSDP</t>
  </si>
  <si>
    <t>04-12-2024 to 04-18-2024</t>
  </si>
  <si>
    <t>31104688</t>
  </si>
  <si>
    <t>D168</t>
  </si>
  <si>
    <t>Pugmill P6 TO (95982) Harvest Green Grainage &amp; Mass Grading Phase VI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</si>
  <si>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</si>
  <si>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</si>
  <si>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</si>
  <si>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</si>
  <si>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</si>
  <si>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</si>
  <si>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70057919</t>
  </si>
  <si>
    <t>Pugmill P14 TO (99815) Jordan Ranch Sec 43 WSD&amp;P (Ruben)</t>
  </si>
  <si>
    <t>30022563</t>
  </si>
  <si>
    <t>D170</t>
  </si>
  <si>
    <t>Pugmill P5 TO (98927) STERLING LAKES NORTH SEC 7</t>
  </si>
  <si>
    <t>37118476</t>
  </si>
  <si>
    <t>Pugmill P11 TO (99425) MD Anderson Pawnee Expansion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</si>
  <si>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</si>
  <si>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</si>
  <si>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</si>
  <si>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</si>
  <si>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</si>
  <si>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</si>
  <si>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</si>
  <si>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</si>
  <si>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</si>
  <si>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</si>
  <si>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</si>
  <si>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</si>
  <si>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</si>
  <si>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</si>
  <si>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</si>
  <si>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</si>
  <si>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</si>
  <si>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</si>
  <si>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</si>
  <si>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</si>
  <si>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75018765</t>
  </si>
  <si>
    <t>Pugmill P16 TO (94907) Common Wealth</t>
  </si>
  <si>
    <t>12-29-2023 TO 01-04-2024</t>
  </si>
  <si>
    <t>75019103</t>
  </si>
  <si>
    <t>Pugmill P16 TO (98221) Meridiana 5 East</t>
  </si>
  <si>
    <t>45012313</t>
  </si>
  <si>
    <t>D171</t>
  </si>
  <si>
    <t>45012312</t>
  </si>
  <si>
    <t>D172</t>
  </si>
  <si>
    <t>36083330</t>
  </si>
  <si>
    <t>Pugmill P10 TO (99654) 99654</t>
  </si>
  <si>
    <t>45012311</t>
  </si>
  <si>
    <t>D175</t>
  </si>
  <si>
    <t>30027647</t>
  </si>
  <si>
    <t>D177</t>
  </si>
  <si>
    <t>Pugmill P5 TO (95228) CREEKHAVEN BLVD 1 WSD</t>
  </si>
  <si>
    <t>08-02-2024 to 08-08-2024</t>
  </si>
  <si>
    <t>34170906</t>
  </si>
  <si>
    <t>D179</t>
  </si>
  <si>
    <t>Pugmill P8 TO (83953) TIDWELL TIMBERS</t>
  </si>
  <si>
    <t>01-24-2025 TO 01-30-2025</t>
  </si>
  <si>
    <t>34171991</t>
  </si>
  <si>
    <t>Pugmill P8 TO (115184) Mesa Garden Apataments</t>
  </si>
  <si>
    <t>01-31-2025 to 02-06-2025</t>
  </si>
  <si>
    <t>34172558</t>
  </si>
  <si>
    <t>70042593</t>
  </si>
  <si>
    <t>70044936</t>
  </si>
  <si>
    <t>70061788</t>
  </si>
  <si>
    <t>Pugmill P14 TO (95213) HARVEST GREEN SECT. 42</t>
  </si>
  <si>
    <t>03-08-2024 to 03-14-2024</t>
  </si>
  <si>
    <t>70040733</t>
  </si>
  <si>
    <t>D181</t>
  </si>
  <si>
    <t>Pugmill P14 TO (79828) Lakes of Orchid Estates</t>
  </si>
  <si>
    <t>70049376</t>
  </si>
  <si>
    <t>70054340</t>
  </si>
  <si>
    <t>D184</t>
  </si>
  <si>
    <t>37101937</t>
  </si>
  <si>
    <t>D187</t>
  </si>
  <si>
    <t>Pugmill P11 TO (88222) Kemah Crossing Sec 3</t>
  </si>
  <si>
    <t>11-10-2023 TO 11-16-2023</t>
  </si>
  <si>
    <t>71056474</t>
  </si>
  <si>
    <t>D194</t>
  </si>
  <si>
    <t>Pugmill P13 TO (88462) Friendswood Trails Sec 3A &amp; 4A WSDP</t>
  </si>
  <si>
    <t>1973004412</t>
  </si>
  <si>
    <t>Pugmill P3 TO (323-1189) Clay Road Segment 2 Paving and Drainage</t>
  </si>
  <si>
    <t>05-15-2025 to 05-21-2025</t>
  </si>
  <si>
    <t>73090667</t>
  </si>
  <si>
    <t>Pugmill P3 TO (115381) 115381</t>
  </si>
  <si>
    <t>03-21-2025 to 03-27-2025</t>
  </si>
  <si>
    <t>34128178</t>
  </si>
  <si>
    <t>Pugmill P8 TO (95874) COH FY 2023 # 4- RICHLAND - PO 52</t>
  </si>
  <si>
    <t>11-17-2023 TO 11-21-2023</t>
  </si>
  <si>
    <t>34151666</t>
  </si>
  <si>
    <t>Pugmill P8 TO (95913) Urban Air Shell Building</t>
  </si>
  <si>
    <t>07-12-2024 TO 07-18-2024</t>
  </si>
  <si>
    <t>34164963</t>
  </si>
  <si>
    <t>Pugmill P8 TO (106687) UPS Sweetwater</t>
  </si>
  <si>
    <t>11-15-2024 to 11-21-2024</t>
  </si>
  <si>
    <t>38054155</t>
  </si>
  <si>
    <t>D202</t>
  </si>
  <si>
    <t>Pugmill P12 TO (106468) 106468</t>
  </si>
  <si>
    <t>34157051</t>
  </si>
  <si>
    <t>D203</t>
  </si>
  <si>
    <t>Pugmill P8 TO (108135) 108135</t>
  </si>
  <si>
    <t>08-30-2024 to 09-05-2024</t>
  </si>
  <si>
    <t>1931009300</t>
  </si>
  <si>
    <t>D206</t>
  </si>
  <si>
    <t>Pugmill P6 TO (323-2054) EMBERLY SEC 11</t>
  </si>
  <si>
    <t>31098671</t>
  </si>
  <si>
    <t>31127716</t>
  </si>
  <si>
    <t>Pugmill P6 TO (112601) EVERGREEN SEC 4 - WSD&amp;P</t>
  </si>
  <si>
    <t>31137675</t>
  </si>
  <si>
    <t>Pugmill P6 TO (123394) Preserve at Rosenberg Sec 2 &amp; Koeblen Rd PH 1&amp;2</t>
  </si>
  <si>
    <t>38045169</t>
  </si>
  <si>
    <t>D207</t>
  </si>
  <si>
    <t>Pugmill P12 TO (95143) Creekwood Crossing 1 WSD</t>
  </si>
  <si>
    <t>70061919</t>
  </si>
  <si>
    <t>D208</t>
  </si>
  <si>
    <t>71066829</t>
  </si>
  <si>
    <t>Pugmill P13 TO (93583) Galveston County Algo-Alta Loma Project</t>
  </si>
  <si>
    <t>72047530</t>
  </si>
  <si>
    <t>D210</t>
  </si>
  <si>
    <t>Pugmill P15 TO (88535) HPD Bunker &amp; Relocation Facility</t>
  </si>
  <si>
    <t>10-04-2024 to 10-10-2024</t>
  </si>
  <si>
    <t>31096210</t>
  </si>
  <si>
    <t>D211</t>
  </si>
  <si>
    <t>03-22-2024 TO 03-27-2024</t>
  </si>
  <si>
    <t>1931004913</t>
  </si>
  <si>
    <t>D212</t>
  </si>
  <si>
    <t>Pugmill P6 TO (323-33) 323-33</t>
  </si>
  <si>
    <t>06-19-2025 to 06-25-2025</t>
  </si>
  <si>
    <t>31101647</t>
  </si>
  <si>
    <t>Pugmill P6 TO (96838) Lamar Transportation Center #3</t>
  </si>
  <si>
    <t>05-03-2024 to 05-09-2024</t>
  </si>
  <si>
    <t>31106547</t>
  </si>
  <si>
    <t>Pugmill P6 TO (99171) Sorrento 4</t>
  </si>
  <si>
    <t>31108059</t>
  </si>
  <si>
    <t>Pugmill P6 TO (98154) Austin Point Foundation Way</t>
  </si>
  <si>
    <t>07-19-2024 to 07-25-2024</t>
  </si>
  <si>
    <t>31138835</t>
  </si>
  <si>
    <t>Pugmill P6 TO (105686) Montclair Blvd Ph II</t>
  </si>
  <si>
    <t>04-11-2025 to 04-17-2025</t>
  </si>
  <si>
    <t>31139736</t>
  </si>
  <si>
    <t>Pugmill P6 TO (117238) Harvest Green Sec 56</t>
  </si>
  <si>
    <t>04-25-2025 TO 04-30-2025</t>
  </si>
  <si>
    <t>31101690</t>
  </si>
  <si>
    <t>D213</t>
  </si>
  <si>
    <t>Pugmill P6 TO (70514) TXDOT - WHARTON CO. - FM 1301 - CTR#1412-03-038</t>
  </si>
  <si>
    <t>31106234</t>
  </si>
  <si>
    <t>31106679</t>
  </si>
  <si>
    <t>Pugmill P6 TO (21282) Hourly Standby Time</t>
  </si>
  <si>
    <t>07-05-2024 to 07-11-2024</t>
  </si>
  <si>
    <t>1931003184</t>
  </si>
  <si>
    <t>D215</t>
  </si>
  <si>
    <t>Pugmill P6 TO (323-135) Ryehill 1,2 &amp; 2A</t>
  </si>
  <si>
    <t>06-05-2025 to 06-11-2025</t>
  </si>
  <si>
    <t>1931009134</t>
  </si>
  <si>
    <t>31117836</t>
  </si>
  <si>
    <t>Pugmill P6 TO (102973) Boothline Road St Ded WSDP</t>
  </si>
  <si>
    <t>31124151</t>
  </si>
  <si>
    <t>Pugmill P6 TO (111565) Wallingford Park Dr PH 3</t>
  </si>
  <si>
    <t>11-22-2024 TO 11-27-2024</t>
  </si>
  <si>
    <t>72036673</t>
  </si>
  <si>
    <t>Pugmill P15 TO (88529) Worthing HS</t>
  </si>
  <si>
    <t>72036674</t>
  </si>
  <si>
    <t>72036675</t>
  </si>
  <si>
    <t>72036676</t>
  </si>
  <si>
    <t>72036791</t>
  </si>
  <si>
    <t>Pugmill P15 TO (100444) 100444</t>
  </si>
  <si>
    <t>72036792</t>
  </si>
  <si>
    <t>71063859</t>
  </si>
  <si>
    <t>Pugmill P13 TO (90708) BEACON POINT LAGO MAR Sec 2</t>
  </si>
  <si>
    <t>71051292</t>
  </si>
  <si>
    <t>D22</t>
  </si>
  <si>
    <t>Pugmill P13 TO (82564) Pedregal 6</t>
  </si>
  <si>
    <t>09-01-2023 to 09-07-2023</t>
  </si>
  <si>
    <t>71064465</t>
  </si>
  <si>
    <t>Pugmill P13 TO (97388) Trails Woodhaven Lakes Sec 2 WSD</t>
  </si>
  <si>
    <t>05-31-2024 to 06-06-2024</t>
  </si>
  <si>
    <t>34146842</t>
  </si>
  <si>
    <t>D223</t>
  </si>
  <si>
    <t>Pugmill P8 TO (98800) 98800</t>
  </si>
  <si>
    <t>71079362</t>
  </si>
  <si>
    <t>D224</t>
  </si>
  <si>
    <t>Pugmill P13 TO (116305) 116305</t>
  </si>
  <si>
    <t>03-28-2025 to 04-03-2025</t>
  </si>
  <si>
    <t>37143240</t>
  </si>
  <si>
    <t>D227</t>
  </si>
  <si>
    <t>Pugmill P11 TO (111805) COH Sagamont WWTP Imp Projects</t>
  </si>
  <si>
    <t>72041081</t>
  </si>
  <si>
    <t>Pugmill P15 TO (93517) HPW Arlington Heights Drainage</t>
  </si>
  <si>
    <t>72042148</t>
  </si>
  <si>
    <t>Pugmill P15 TO (103893) 103893</t>
  </si>
  <si>
    <t>72051246</t>
  </si>
  <si>
    <t>12-20-2024 to 12-26-2024</t>
  </si>
  <si>
    <t>34169170</t>
  </si>
  <si>
    <t>D230</t>
  </si>
  <si>
    <t>Pugmill P8 TO (94417) Wayside Village SEC. 10</t>
  </si>
  <si>
    <t>01-03-2025 to 01-09-2025</t>
  </si>
  <si>
    <t>37127698</t>
  </si>
  <si>
    <t>D235</t>
  </si>
  <si>
    <t>Pugmill P11 TO (94447) BRAZORIA COUNTY - CR 58 WIDENING</t>
  </si>
  <si>
    <t>07-26-2024 to 08-01-2024</t>
  </si>
  <si>
    <t>37128057</t>
  </si>
  <si>
    <t>34152865</t>
  </si>
  <si>
    <t>D237</t>
  </si>
  <si>
    <t>Pugmill P8 TO (108261) CNP Treaschwig Sub</t>
  </si>
  <si>
    <t>37107804</t>
  </si>
  <si>
    <t>D24</t>
  </si>
  <si>
    <t>Pugmill P11 TO (92994) 92994</t>
  </si>
  <si>
    <t>73089088</t>
  </si>
  <si>
    <t>Pugmill P3 TO (117603) 117603</t>
  </si>
  <si>
    <t>03-14-2025 to 03-20-2025</t>
  </si>
  <si>
    <t>34170505</t>
  </si>
  <si>
    <t>D243</t>
  </si>
  <si>
    <t>Pugmill P8 TO (113617) Port of Houston Container Yard 6 &amp; 7</t>
  </si>
  <si>
    <t>01-17-2025 to 01-23-2025</t>
  </si>
  <si>
    <t>1936006309</t>
  </si>
  <si>
    <t>D245</t>
  </si>
  <si>
    <t>Pugmill P10 TO (323-351) Wildtree Section 5 WSD&amp;P</t>
  </si>
  <si>
    <t>31134055</t>
  </si>
  <si>
    <t>D247</t>
  </si>
  <si>
    <t>Pugmill P6 TO (114211) 114211</t>
  </si>
  <si>
    <t>36098929</t>
  </si>
  <si>
    <t>D248</t>
  </si>
  <si>
    <t>Pugmill P10 TO (109121) Colony at Pinehurst Sec 5 &amp; 6 WSD&amp;P</t>
  </si>
  <si>
    <t>36100176</t>
  </si>
  <si>
    <t>Pugmill P10 TO (111132) Two Step Farm Ph 1</t>
  </si>
  <si>
    <t>36100890</t>
  </si>
  <si>
    <t>12-13-2024 to 12-19-2024</t>
  </si>
  <si>
    <t>36103214</t>
  </si>
  <si>
    <t>Pugmill P10 TO (117845) 117845</t>
  </si>
  <si>
    <t>1934000811</t>
  </si>
  <si>
    <t>D250</t>
  </si>
  <si>
    <t>Pugmill P8 TO (323-386) 323-386</t>
  </si>
  <si>
    <t>1934000921</t>
  </si>
  <si>
    <t>Pugmill P8 TO (323-991) Sweetgrass Village Sec 4 - WSD&amp;P</t>
  </si>
  <si>
    <t>34164279</t>
  </si>
  <si>
    <t>Pugmill P8 TO (109953) IAH Terminal B</t>
  </si>
  <si>
    <t>11-08-2024 to 11-14-2024</t>
  </si>
  <si>
    <t>34167145</t>
  </si>
  <si>
    <t>Pugmill P8 TO (115655) MLIT-DIFFCO</t>
  </si>
  <si>
    <t>12-06-2024 to 12-12-2024</t>
  </si>
  <si>
    <t>34176653</t>
  </si>
  <si>
    <t>Pugmill P8 TO (116350) 116350</t>
  </si>
  <si>
    <t>71080070</t>
  </si>
  <si>
    <t>D257</t>
  </si>
  <si>
    <t>Pugmill P13 TO (113029) COM Corporate and Continuing Education Center</t>
  </si>
  <si>
    <t>1971006510</t>
  </si>
  <si>
    <t>D258</t>
  </si>
  <si>
    <t>Pugmill P13 TO (323-2485) MIDLINE SEC 3 WSDP</t>
  </si>
  <si>
    <t>1971006637</t>
  </si>
  <si>
    <t>1936005571</t>
  </si>
  <si>
    <t>D260</t>
  </si>
  <si>
    <t>Pugmill P10 TO (323-1227) 323-1227</t>
  </si>
  <si>
    <t>34172006</t>
  </si>
  <si>
    <t>D261</t>
  </si>
  <si>
    <t>Pugmill P8 TO (109945) Scotts Bend 3</t>
  </si>
  <si>
    <t>34173034</t>
  </si>
  <si>
    <t>Pugmill P8 TO (99773) TIDWELL TIMBERS</t>
  </si>
  <si>
    <t>34173028</t>
  </si>
  <si>
    <t>D263</t>
  </si>
  <si>
    <t>Pugmill P8 TO (112333) Woodcrest Subdivision</t>
  </si>
  <si>
    <t>38067244</t>
  </si>
  <si>
    <t>Pugmill P12 TO (102148) 102148</t>
  </si>
  <si>
    <t>38067920</t>
  </si>
  <si>
    <t>Pugmill P12 TO (113855) 113855</t>
  </si>
  <si>
    <t>02-14-2025 to 02-20-2025</t>
  </si>
  <si>
    <t>38070757</t>
  </si>
  <si>
    <t>Pugmill P12 TO (119596) 119596</t>
  </si>
  <si>
    <t>38073120</t>
  </si>
  <si>
    <t>Pugmill P12 TO (123697) Chambers Reserve</t>
  </si>
  <si>
    <t>38073422</t>
  </si>
  <si>
    <t>Pugmill P12 TO (119552) 119552</t>
  </si>
  <si>
    <t>1931013729</t>
  </si>
  <si>
    <t>D274</t>
  </si>
  <si>
    <t>1931012576</t>
  </si>
  <si>
    <t>1931014897</t>
  </si>
  <si>
    <t>1973006174</t>
  </si>
  <si>
    <t>05-29-2025 to 06-04-2025</t>
  </si>
  <si>
    <t>1973010796</t>
  </si>
  <si>
    <t>Pugmill P3 TO (323-1782) Fulshear Lakes Way Ph3 Creekside Village Sec7-WSDP</t>
  </si>
  <si>
    <t>1936002324</t>
  </si>
  <si>
    <t>D279</t>
  </si>
  <si>
    <t>Pugmill P10 TO (323-1553) ESCONDIDO SEC 8</t>
  </si>
  <si>
    <t>1936005752</t>
  </si>
  <si>
    <t>Pugmill P10 TO (323-1148) Hourly Standby</t>
  </si>
  <si>
    <t>1934004908</t>
  </si>
  <si>
    <t>D285</t>
  </si>
  <si>
    <t>Pugmill P8 TO (323-11) Metro MAINTENANCE WAY</t>
  </si>
  <si>
    <t>1934005531</t>
  </si>
  <si>
    <t>Pugmill P8 TO (323-990) Pelly Place Section 3</t>
  </si>
  <si>
    <t>06-12-2025 to 06-18-2025</t>
  </si>
  <si>
    <t>1934005615</t>
  </si>
  <si>
    <t>Pugmill P8 TO (323-1950) 323-1950</t>
  </si>
  <si>
    <t>1934005649</t>
  </si>
  <si>
    <t>Pugmill P8 TO (323-634) 323-634</t>
  </si>
  <si>
    <t>1934005662</t>
  </si>
  <si>
    <t>Pugmill P8 TO (323-1144) AH Catering Operations Facility</t>
  </si>
  <si>
    <t>1934008736</t>
  </si>
  <si>
    <t>Pugmill P8 TO (323-1874) Cedar Pointe Sec. 5 WSDP</t>
  </si>
  <si>
    <t>1971001933</t>
  </si>
  <si>
    <t>D292</t>
  </si>
  <si>
    <t>Pugmill P13 TO (323-1596) Container Yard 1 South</t>
  </si>
  <si>
    <t>1971007415</t>
  </si>
  <si>
    <t>D295</t>
  </si>
  <si>
    <t>Pugmill P13 TO (323-2596) Midline Sec 2 WSDP</t>
  </si>
  <si>
    <t>1936007229</t>
  </si>
  <si>
    <t>D296</t>
  </si>
  <si>
    <t>Pugmill P10 TO (323-2291) Audubon Crssng Trl Ph 1 and Sec. 7 offsite WSDP</t>
  </si>
  <si>
    <t>30023572</t>
  </si>
  <si>
    <t>Pugmill P5 TO (77963) TXDOT - SH 288 @ CR. 48 E- CN# 0598-02-112</t>
  </si>
  <si>
    <t>04-26-2024 to 05-02-2024</t>
  </si>
  <si>
    <t>37140181</t>
  </si>
  <si>
    <t>Pugmill P11 TO (109574) Pearland Industrial</t>
  </si>
  <si>
    <t>45012321</t>
  </si>
  <si>
    <t>72028574</t>
  </si>
  <si>
    <t>45012317</t>
  </si>
  <si>
    <t>D32</t>
  </si>
  <si>
    <t>45012322</t>
  </si>
  <si>
    <t>72028817</t>
  </si>
  <si>
    <t>Pugmill P15 TO (88033) BRANARD - st /COH 72in WL</t>
  </si>
  <si>
    <t>30014790</t>
  </si>
  <si>
    <t>D33</t>
  </si>
  <si>
    <t>Pugmill P5 TO (80012) Valencia Section 3</t>
  </si>
  <si>
    <t>45012315</t>
  </si>
  <si>
    <t>30013561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</si>
  <si>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</si>
  <si>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</si>
  <si>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</si>
  <si>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</si>
  <si>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75022078</t>
  </si>
  <si>
    <t>Pugmill P16 TO (93647) 93647</t>
  </si>
  <si>
    <t>72026286</t>
  </si>
  <si>
    <t>Pugmill P15 TO (93922) FY2022 Citywide street drainage Rehab #1 WBS - MI</t>
  </si>
  <si>
    <t>30019587</t>
  </si>
  <si>
    <t>D37</t>
  </si>
  <si>
    <t>Pugmill P5 TO (97912) WALL 7- TXDOT HARRIS CO. 610/ALMEDA - FANNIN</t>
  </si>
  <si>
    <t>37143238</t>
  </si>
  <si>
    <t>75033464</t>
  </si>
  <si>
    <t>Pugmill P16 TO (98843) Foxtail Palms Sec 1 WSD</t>
  </si>
  <si>
    <t>02-21-2025 to 02-27-2025</t>
  </si>
  <si>
    <t>75033545</t>
  </si>
  <si>
    <t>Pugmill P16 TO (114551) LEGACY SEC 6</t>
  </si>
  <si>
    <t>72053637</t>
  </si>
  <si>
    <t>D44</t>
  </si>
  <si>
    <t>Pugmill P15 TO (115086) 115086</t>
  </si>
  <si>
    <t>30025177</t>
  </si>
  <si>
    <t>37111326</t>
  </si>
  <si>
    <t>Pugmill P11 TO (94427) Caldwell Crossing Sec 2</t>
  </si>
  <si>
    <t>75013303</t>
  </si>
  <si>
    <t>Pugmill P16 TO (75799) Valencia Section 5</t>
  </si>
  <si>
    <t>07-14-2023 TO 07-20-2023</t>
  </si>
  <si>
    <t>75024541</t>
  </si>
  <si>
    <t>Pugmill P16 TO (95228) CREEKHAVEN BLVD 1 WSD</t>
  </si>
  <si>
    <t>71075319</t>
  </si>
  <si>
    <t>D48</t>
  </si>
  <si>
    <t>Pugmill P13 TO (90610) Ashland Ph 1A</t>
  </si>
  <si>
    <t>31095476</t>
  </si>
  <si>
    <t>Pugmill P6 TO (95213) HARVEST GREEN SECT. 42</t>
  </si>
  <si>
    <t>03-15-2024 to 03-21-2024</t>
  </si>
  <si>
    <t>70047717</t>
  </si>
  <si>
    <t>70067112</t>
  </si>
  <si>
    <t>Pugmill P14 TO (102122) Pecan Ridge Sec 9</t>
  </si>
  <si>
    <t>73094414</t>
  </si>
  <si>
    <t>Pugmill P3 TO (118181) Jordan Ranch SEC 52 &amp; 53</t>
  </si>
  <si>
    <t>75013884</t>
  </si>
  <si>
    <t>Pugmill P16 TO (81668) 1211 kipling st /COH 72in WL</t>
  </si>
  <si>
    <t>1937007239</t>
  </si>
  <si>
    <t>1937008508</t>
  </si>
  <si>
    <t>45012318</t>
  </si>
  <si>
    <t>D70</t>
  </si>
  <si>
    <t>34130203</t>
  </si>
  <si>
    <t>Pugmill P8 TO (42889) Hourly Standby</t>
  </si>
  <si>
    <t>34130581</t>
  </si>
  <si>
    <t>34134853</t>
  </si>
  <si>
    <t>34136088</t>
  </si>
  <si>
    <t>Pugmill P8 TO (98361) Targa - Fire Line</t>
  </si>
  <si>
    <t>34136488</t>
  </si>
  <si>
    <t>Pugmill P8 TO (100347) 100347</t>
  </si>
  <si>
    <t>73095678</t>
  </si>
  <si>
    <t>Pugmill P3 TO (97949) 97949</t>
  </si>
  <si>
    <t>45012316</t>
  </si>
  <si>
    <t>D72</t>
  </si>
  <si>
    <t>45012319</t>
  </si>
  <si>
    <t>1973013167</t>
  </si>
  <si>
    <t>Pugmill P3 TO (323-1963) Grand Prairie Sec 10 WSDP</t>
  </si>
  <si>
    <t>73015377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</si>
  <si>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</si>
  <si>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</si>
  <si>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</si>
  <si>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</si>
  <si>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</si>
  <si>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31121474</t>
  </si>
  <si>
    <t>Pugmill P6 TO (108729) Austin Point Sec 4 WSD</t>
  </si>
  <si>
    <t>70043954</t>
  </si>
  <si>
    <t>Pugmill P14 TO (69030) TX Dot FM 1463</t>
  </si>
  <si>
    <t>71055445</t>
  </si>
  <si>
    <t>D87</t>
  </si>
  <si>
    <t>Pugmill P13 TO (92785) Westlawn and Highland Drainage Improv</t>
  </si>
  <si>
    <t>71076822</t>
  </si>
  <si>
    <t>31112424</t>
  </si>
  <si>
    <t>D94</t>
  </si>
  <si>
    <t>Pugmill P6 TO (107114) Harvest Green 54</t>
  </si>
  <si>
    <t>31118810</t>
  </si>
  <si>
    <t>Pugmill P6 TO (104334) The 1824 Austin Point Sec 2</t>
  </si>
  <si>
    <t>10-11-2024 to 10-17-2024</t>
  </si>
  <si>
    <t>31131844</t>
  </si>
  <si>
    <t>Pugmill P6 TO (101651) 101651</t>
  </si>
  <si>
    <t>71063443</t>
  </si>
  <si>
    <t>Pugmill P4 TO (85204) TXDOT - GALVESTON - SH 146 - LEGACY CITY - 0389-06</t>
  </si>
  <si>
    <t>30031188</t>
  </si>
  <si>
    <t>Pugmill P5 TO (109809) 109809</t>
  </si>
  <si>
    <t>R004234</t>
  </si>
  <si>
    <t>01-10-2025 to 01-16-2025</t>
  </si>
  <si>
    <t>92029866</t>
  </si>
  <si>
    <t>Pugmill P9 TO (118885) 118885</t>
  </si>
  <si>
    <t>R004911</t>
  </si>
  <si>
    <t>37143167</t>
  </si>
  <si>
    <t>Pugmill P11 TO (100010) Barry Rose WRF phase 1</t>
  </si>
  <si>
    <t>R004898</t>
  </si>
  <si>
    <t>45015394</t>
  </si>
  <si>
    <t>R004317</t>
  </si>
  <si>
    <t>45015421</t>
  </si>
  <si>
    <t>70065756</t>
  </si>
  <si>
    <t>Pugmill P14 TO (99171) Sorrento 4</t>
  </si>
  <si>
    <t>R002530</t>
  </si>
  <si>
    <t>75032712</t>
  </si>
  <si>
    <t>Pugmill P16 TO (100010) Barry Rose WRF phase 1</t>
  </si>
  <si>
    <t>R004359</t>
  </si>
  <si>
    <t>73014701</t>
  </si>
  <si>
    <t>Pugmill P3 TO (55655) First Met Senior Living</t>
  </si>
  <si>
    <t>R000943</t>
  </si>
  <si>
    <t>70050832</t>
  </si>
  <si>
    <t>R001315</t>
  </si>
  <si>
    <t>12-21-2023 TO 12-21-2023</t>
  </si>
  <si>
    <t>70050953</t>
  </si>
  <si>
    <t>1931007751</t>
  </si>
  <si>
    <t>Pugmill P6 TO (323-1546) Davina Det and MG</t>
  </si>
  <si>
    <t>R005808</t>
  </si>
  <si>
    <t>31100245</t>
  </si>
  <si>
    <t>R002348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</si>
  <si>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</si>
  <si>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</si>
  <si>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</si>
  <si>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</si>
  <si>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</si>
  <si>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</si>
  <si>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</si>
  <si>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</si>
  <si>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</si>
  <si>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70063709</t>
  </si>
  <si>
    <t>Pugmill P14 TO (97154) Harvest Green Sec 45 &amp; 50</t>
  </si>
  <si>
    <t>R002312</t>
  </si>
  <si>
    <t>72000000</t>
  </si>
  <si>
    <t>Pugmill P15 TO (00000) HOURLYSTANDBYTIME</t>
  </si>
  <si>
    <t>R001335</t>
  </si>
  <si>
    <t>34151683</t>
  </si>
  <si>
    <t>Pugmill P8 TO (87275) HC Beaumont Place</t>
  </si>
  <si>
    <t>R002867</t>
  </si>
  <si>
    <t>71067989</t>
  </si>
  <si>
    <t>Pugmill P13 TO (104460) TXDOT Sidewalks 270 and 96 - Main Lane</t>
  </si>
  <si>
    <t>R003124</t>
  </si>
  <si>
    <t>08-09-2024 to 08-15-2024</t>
  </si>
  <si>
    <t>31095550</t>
  </si>
  <si>
    <t>R002033</t>
  </si>
  <si>
    <t>31095554</t>
  </si>
  <si>
    <t>Pugmill P6 TO (95004) HARVEST GREEN SECT.43</t>
  </si>
  <si>
    <t>31095559</t>
  </si>
  <si>
    <t>31103828</t>
  </si>
  <si>
    <t>Pugmill P6 TO (103560) AUSTIN POINT</t>
  </si>
  <si>
    <t>R002671</t>
  </si>
  <si>
    <t>31131803</t>
  </si>
  <si>
    <t>Pugmill P6 TO (110626) Monarch Landing Sec 3</t>
  </si>
  <si>
    <t>R004827</t>
  </si>
  <si>
    <t>71050104</t>
  </si>
  <si>
    <t>Pugmill P13 TO (90516) Institutive Machines SuperBAB</t>
  </si>
  <si>
    <t>R000315</t>
  </si>
  <si>
    <t>45015439</t>
  </si>
  <si>
    <t>R004374</t>
  </si>
  <si>
    <t>34152864</t>
  </si>
  <si>
    <t>R003100</t>
  </si>
  <si>
    <t>73089086</t>
  </si>
  <si>
    <t>Pugmill P3 TO (112725) 112725</t>
  </si>
  <si>
    <t>R004918</t>
  </si>
  <si>
    <t>36101524</t>
  </si>
  <si>
    <t>Pugmill P10 TO (97088) 97088</t>
  </si>
  <si>
    <t>R004209</t>
  </si>
  <si>
    <t>36101640</t>
  </si>
  <si>
    <t>D254</t>
  </si>
  <si>
    <t>Pugmill P10 TO (99005) 99005</t>
  </si>
  <si>
    <t>R004334</t>
  </si>
  <si>
    <t>71077705</t>
  </si>
  <si>
    <t>Pugmill P13 TO (85204) TXDOT - GALVESTON - SH 146 - LEGACY CITY - 0389-06</t>
  </si>
  <si>
    <t>R004688</t>
  </si>
  <si>
    <t>38062832</t>
  </si>
  <si>
    <t>Pugmill P12 TO (66730) NORTHPARK DRIVE OVERPASS</t>
  </si>
  <si>
    <t>R004387</t>
  </si>
  <si>
    <t>38062841</t>
  </si>
  <si>
    <t>Pugmill P12 TO (110901) 28502 TALLOW ROCK LN</t>
  </si>
  <si>
    <t>38062851</t>
  </si>
  <si>
    <t>Pugmill P12 TO (113354) 113354</t>
  </si>
  <si>
    <t>38062862</t>
  </si>
  <si>
    <t>Pugmill P12 TO (113440) 113440</t>
  </si>
  <si>
    <t>38062874</t>
  </si>
  <si>
    <t>38062882</t>
  </si>
  <si>
    <t>38062888</t>
  </si>
  <si>
    <t>45015440</t>
  </si>
  <si>
    <t>D265</t>
  </si>
  <si>
    <t>R004375</t>
  </si>
  <si>
    <t>45015386</t>
  </si>
  <si>
    <t>R004318</t>
  </si>
  <si>
    <t>45015427</t>
  </si>
  <si>
    <t>72037273</t>
  </si>
  <si>
    <t>Pugmill P15 TO (104378) Briargate Elementary</t>
  </si>
  <si>
    <t>R002575</t>
  </si>
  <si>
    <t>70066981</t>
  </si>
  <si>
    <t>Pugmill P14 TO (107211) Tamarron PH X Det and Grading</t>
  </si>
  <si>
    <t>R002678</t>
  </si>
  <si>
    <t>34171992</t>
  </si>
  <si>
    <t>Pugmill P8 TO (112199) WHCRWA SWSP Segment A1 and A2</t>
  </si>
  <si>
    <t>R004816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</si>
  <si>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</si>
  <si>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</si>
  <si>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</si>
  <si>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</si>
  <si>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</si>
  <si>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</si>
  <si>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</si>
  <si>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</si>
  <si>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</si>
  <si>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</si>
  <si>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</si>
  <si>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</si>
  <si>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</si>
  <si>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</si>
  <si>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</si>
  <si>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Check</t>
  </si>
  <si>
    <t>Direct Pay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</si>
</sst>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803" totalsRowCount="1">
  <autoFilter ref="A1:J803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779" totalsRowCount="1">
  <autoFilter ref="A1:I779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321" totalsRowCount="1">
  <autoFilter ref="A1:H321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49" totalsRowCount="1">
  <autoFilter ref="A1:H49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38" totalsRowCount="1">
  <autoFilter ref="A1:I38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803"/>
  <sheetViews>
    <sheetView view="normal" tabSelected="1" workbookViewId="0">
      <selection pane="topLeft" activeCell="A1" sqref="A1"/>
    </sheetView>
  </sheetViews>
  <sheetFormatPr defaultRowHeight="12.75"/>
  <cols>
    <col min="1" max="1" width="14.27734375" bestFit="1" customWidth="1"/>
    <col min="2" max="2" width="15.140625" bestFit="1" customWidth="1"/>
    <col min="3" max="3" width="79.5703125" bestFit="1" customWidth="1"/>
    <col min="4" max="4" width="9" bestFit="1" customWidth="1"/>
    <col min="5" max="5" width="10.5703125" bestFit="1" customWidth="1"/>
    <col min="6" max="6" width="11.140625" bestFit="1" customWidth="1"/>
    <col min="7" max="7" width="12.7109375" bestFit="1" customWidth="1"/>
    <col min="8" max="8" width="17" bestFit="1" customWidth="1"/>
    <col min="9" max="10" width="27.417968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19.92</v>
      </c>
      <c r="E2" s="2">
        <v>4.2</v>
      </c>
      <c r="F2" s="2">
        <v>83.66</v>
      </c>
      <c r="G2" t="s">
        <v>13</v>
      </c>
      <c r="H2">
        <f ca="1">IF(83.66&lt;&gt;83.66,0,0)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16</v>
      </c>
      <c r="D3" s="1">
        <v>19.7</v>
      </c>
      <c r="E3" s="2">
        <v>4.55</v>
      </c>
      <c r="F3" s="2">
        <v>89.64</v>
      </c>
      <c r="G3" t="s">
        <v>13</v>
      </c>
      <c r="H3">
        <f ca="1">IF(89.64&lt;&gt;89.64,0,0)</f>
        <v>0</v>
      </c>
      <c r="I3" t="s">
        <v>14</v>
      </c>
      <c r="J3" t="s">
        <v>14</v>
      </c>
    </row>
    <row r="4" spans="1:10">
      <c r="A4" t="s">
        <v>17</v>
      </c>
      <c r="B4" t="s">
        <v>11</v>
      </c>
      <c r="C4" t="s">
        <v>18</v>
      </c>
      <c r="D4" s="1">
        <v>19.62</v>
      </c>
      <c r="E4" s="2">
        <v>5.95</v>
      </c>
      <c r="F4" s="2">
        <v>116.74</v>
      </c>
      <c r="G4" t="s">
        <v>13</v>
      </c>
      <c r="H4">
        <f ca="1">IF(116.74&lt;&gt;116.74,0,0)</f>
        <v>0</v>
      </c>
      <c r="I4" t="s">
        <v>14</v>
      </c>
      <c r="J4" t="s">
        <v>14</v>
      </c>
    </row>
    <row r="5" spans="1:10">
      <c r="A5" t="s">
        <v>19</v>
      </c>
      <c r="B5" t="s">
        <v>11</v>
      </c>
      <c r="C5" t="s">
        <v>20</v>
      </c>
      <c r="D5" s="1">
        <v>19.7</v>
      </c>
      <c r="E5" s="2">
        <v>5.45</v>
      </c>
      <c r="F5" s="2">
        <v>107.37</v>
      </c>
      <c r="G5" t="s">
        <v>13</v>
      </c>
      <c r="H5">
        <f ca="1">IF(107.37&lt;&gt;107.36,0.010000000000005116,0)</f>
        <v>0</v>
      </c>
      <c r="I5" t="s">
        <v>14</v>
      </c>
      <c r="J5" t="s">
        <v>14</v>
      </c>
    </row>
    <row r="6" spans="1:10">
      <c r="A6" t="s">
        <v>21</v>
      </c>
      <c r="B6" t="s">
        <v>11</v>
      </c>
      <c r="C6" t="s">
        <v>22</v>
      </c>
      <c r="D6" s="1">
        <v>19.81</v>
      </c>
      <c r="E6" s="2">
        <v>4.2</v>
      </c>
      <c r="F6" s="2">
        <v>83.2</v>
      </c>
      <c r="G6" t="s">
        <v>13</v>
      </c>
      <c r="H6">
        <f ca="1">IF(83.2&lt;&gt;83.2,0,0)</f>
        <v>0</v>
      </c>
      <c r="I6" t="s">
        <v>14</v>
      </c>
      <c r="J6" t="s">
        <v>14</v>
      </c>
    </row>
    <row r="7" spans="1:10">
      <c r="A7" t="s">
        <v>23</v>
      </c>
      <c r="B7" t="s">
        <v>11</v>
      </c>
      <c r="C7" t="s">
        <v>20</v>
      </c>
      <c r="D7" s="1">
        <v>19.9</v>
      </c>
      <c r="E7" s="2">
        <v>5.45</v>
      </c>
      <c r="F7" s="2">
        <v>108.46</v>
      </c>
      <c r="G7" t="s">
        <v>13</v>
      </c>
      <c r="H7">
        <f ca="1">IF(108.46&lt;&gt;108.46,0,0)</f>
        <v>0</v>
      </c>
      <c r="I7" t="s">
        <v>14</v>
      </c>
      <c r="J7" t="s">
        <v>14</v>
      </c>
    </row>
    <row r="8" spans="1:10">
      <c r="A8" t="s">
        <v>24</v>
      </c>
      <c r="B8" t="s">
        <v>11</v>
      </c>
      <c r="C8" t="s">
        <v>25</v>
      </c>
      <c r="D8" s="1">
        <v>19.98</v>
      </c>
      <c r="E8" s="2">
        <v>5.95</v>
      </c>
      <c r="F8" s="2">
        <v>118.88</v>
      </c>
      <c r="G8" t="s">
        <v>13</v>
      </c>
      <c r="H8">
        <f ca="1">IF(118.88&lt;&gt;118.88,0,0)</f>
        <v>0</v>
      </c>
      <c r="I8" t="s">
        <v>14</v>
      </c>
      <c r="J8" t="s">
        <v>14</v>
      </c>
    </row>
    <row r="9" spans="1:10">
      <c r="A9" t="s">
        <v>26</v>
      </c>
      <c r="B9" t="s">
        <v>11</v>
      </c>
      <c r="C9" t="s">
        <v>27</v>
      </c>
      <c r="D9" s="1">
        <v>19.69</v>
      </c>
      <c r="E9" s="2">
        <v>4.95</v>
      </c>
      <c r="F9" s="2">
        <v>97.47</v>
      </c>
      <c r="G9" t="s">
        <v>13</v>
      </c>
      <c r="H9">
        <f ca="1">IF(97.47&lt;&gt;97.47,0,0)</f>
        <v>0</v>
      </c>
      <c r="I9" t="s">
        <v>14</v>
      </c>
      <c r="J9" t="s">
        <v>14</v>
      </c>
    </row>
    <row r="10" spans="1:10">
      <c r="A10" t="s">
        <v>28</v>
      </c>
      <c r="B10" t="s">
        <v>11</v>
      </c>
      <c r="C10" t="s">
        <v>29</v>
      </c>
      <c r="D10" s="1">
        <v>19.78</v>
      </c>
      <c r="E10" s="2">
        <v>4.55</v>
      </c>
      <c r="F10" s="2">
        <v>90</v>
      </c>
      <c r="G10" t="s">
        <v>13</v>
      </c>
      <c r="H10">
        <f ca="1">IF(90&lt;&gt;90,0,0)</f>
        <v>0</v>
      </c>
      <c r="I10" t="s">
        <v>14</v>
      </c>
      <c r="J10" t="s">
        <v>14</v>
      </c>
    </row>
    <row r="11" spans="1:10">
      <c r="A11" t="s">
        <v>30</v>
      </c>
      <c r="B11" t="s">
        <v>11</v>
      </c>
      <c r="C11" t="s">
        <v>31</v>
      </c>
      <c r="D11" s="1">
        <v>19.69</v>
      </c>
      <c r="E11" s="2">
        <v>4.55</v>
      </c>
      <c r="F11" s="2">
        <v>89.59</v>
      </c>
      <c r="G11" t="s">
        <v>13</v>
      </c>
      <c r="H11">
        <f ca="1">IF(89.59&lt;&gt;89.59,0,0)</f>
        <v>0</v>
      </c>
      <c r="I11" t="s">
        <v>14</v>
      </c>
      <c r="J11" t="s">
        <v>14</v>
      </c>
    </row>
    <row r="12" spans="1:10">
      <c r="A12" t="s">
        <v>32</v>
      </c>
      <c r="B12" t="s">
        <v>11</v>
      </c>
      <c r="C12" t="s">
        <v>25</v>
      </c>
      <c r="D12" s="1">
        <v>19.67</v>
      </c>
      <c r="E12" s="2">
        <v>5.95</v>
      </c>
      <c r="F12" s="2">
        <v>117.04</v>
      </c>
      <c r="G12" t="s">
        <v>13</v>
      </c>
      <c r="H12">
        <f ca="1">IF(117.04&lt;&gt;117.04,0,0)</f>
        <v>0</v>
      </c>
      <c r="I12" t="s">
        <v>14</v>
      </c>
      <c r="J12" t="s">
        <v>14</v>
      </c>
    </row>
    <row r="13" spans="1:10">
      <c r="A13" t="s">
        <v>33</v>
      </c>
      <c r="B13" t="s">
        <v>11</v>
      </c>
      <c r="C13" t="s">
        <v>34</v>
      </c>
      <c r="D13" s="1">
        <v>19.74</v>
      </c>
      <c r="E13" s="2">
        <v>4.95</v>
      </c>
      <c r="F13" s="2">
        <v>97.71</v>
      </c>
      <c r="G13" t="s">
        <v>13</v>
      </c>
      <c r="H13">
        <f ca="1">IF(97.71&lt;&gt;97.71,0,0)</f>
        <v>0</v>
      </c>
      <c r="I13" t="s">
        <v>14</v>
      </c>
      <c r="J13" t="s">
        <v>14</v>
      </c>
    </row>
    <row r="14" spans="1:10">
      <c r="A14" t="s">
        <v>35</v>
      </c>
      <c r="B14" t="s">
        <v>11</v>
      </c>
      <c r="C14" t="s">
        <v>29</v>
      </c>
      <c r="D14" s="1">
        <v>19.89</v>
      </c>
      <c r="E14" s="2">
        <v>4.55</v>
      </c>
      <c r="F14" s="2">
        <v>90.5</v>
      </c>
      <c r="G14" t="s">
        <v>13</v>
      </c>
      <c r="H14">
        <f ca="1">IF(90.5&lt;&gt;90.5,0,0)</f>
        <v>0</v>
      </c>
      <c r="I14" t="s">
        <v>14</v>
      </c>
      <c r="J14" t="s">
        <v>14</v>
      </c>
    </row>
    <row r="15" spans="1:10">
      <c r="A15" t="s">
        <v>36</v>
      </c>
      <c r="B15" t="s">
        <v>11</v>
      </c>
      <c r="C15" t="s">
        <v>29</v>
      </c>
      <c r="D15" s="1">
        <v>19.68</v>
      </c>
      <c r="E15" s="2">
        <v>4.55</v>
      </c>
      <c r="F15" s="2">
        <v>89.54</v>
      </c>
      <c r="G15" t="s">
        <v>13</v>
      </c>
      <c r="H15">
        <f ca="1">IF(89.54&lt;&gt;89.54,0,0)</f>
        <v>0</v>
      </c>
      <c r="I15" t="s">
        <v>14</v>
      </c>
      <c r="J15" t="s">
        <v>14</v>
      </c>
    </row>
    <row r="16" spans="1:10">
      <c r="A16" t="s">
        <v>37</v>
      </c>
      <c r="B16" t="s">
        <v>11</v>
      </c>
      <c r="C16" t="s">
        <v>25</v>
      </c>
      <c r="D16" s="1">
        <v>19.68</v>
      </c>
      <c r="E16" s="2">
        <v>5.95</v>
      </c>
      <c r="F16" s="2">
        <v>117.1</v>
      </c>
      <c r="G16" t="s">
        <v>13</v>
      </c>
      <c r="H16">
        <f ca="1">IF(117.1&lt;&gt;117.1,0,0)</f>
        <v>0</v>
      </c>
      <c r="I16" t="s">
        <v>14</v>
      </c>
      <c r="J16" t="s">
        <v>14</v>
      </c>
    </row>
    <row r="17" spans="1:10">
      <c r="A17" t="s">
        <v>38</v>
      </c>
      <c r="B17" t="s">
        <v>11</v>
      </c>
      <c r="C17" t="s">
        <v>39</v>
      </c>
      <c r="D17" s="1">
        <v>19.72</v>
      </c>
      <c r="E17" s="2">
        <v>6.2</v>
      </c>
      <c r="F17" s="2">
        <v>122.26</v>
      </c>
      <c r="G17" t="s">
        <v>13</v>
      </c>
      <c r="H17">
        <f ca="1">IF(122.26&lt;&gt;122.26,0,0)</f>
        <v>0</v>
      </c>
      <c r="I17" t="s">
        <v>14</v>
      </c>
      <c r="J17" t="s">
        <v>14</v>
      </c>
    </row>
    <row r="18" spans="1:10">
      <c r="A18" t="s">
        <v>40</v>
      </c>
      <c r="B18" t="s">
        <v>11</v>
      </c>
      <c r="C18" t="s">
        <v>41</v>
      </c>
      <c r="D18" s="1">
        <v>19.72</v>
      </c>
      <c r="E18" s="2">
        <v>6.45</v>
      </c>
      <c r="F18" s="2">
        <v>127.19</v>
      </c>
      <c r="G18" t="s">
        <v>13</v>
      </c>
      <c r="H18">
        <f ca="1">IF(127.19&lt;&gt;127.19,0,0)</f>
        <v>0</v>
      </c>
      <c r="I18" t="s">
        <v>14</v>
      </c>
      <c r="J18" t="s">
        <v>14</v>
      </c>
    </row>
    <row r="19" spans="1:10">
      <c r="A19" t="s">
        <v>42</v>
      </c>
      <c r="B19" t="s">
        <v>11</v>
      </c>
      <c r="C19" t="s">
        <v>25</v>
      </c>
      <c r="D19" s="1">
        <v>19.66</v>
      </c>
      <c r="E19" s="2">
        <v>5.95</v>
      </c>
      <c r="F19" s="2">
        <v>116.98</v>
      </c>
      <c r="G19" t="s">
        <v>13</v>
      </c>
      <c r="H19">
        <f ca="1">IF(116.98&lt;&gt;116.98,0,0)</f>
        <v>0</v>
      </c>
      <c r="I19" t="s">
        <v>14</v>
      </c>
      <c r="J19" t="s">
        <v>14</v>
      </c>
    </row>
    <row r="20" spans="1:10">
      <c r="A20" t="s">
        <v>43</v>
      </c>
      <c r="B20" t="s">
        <v>11</v>
      </c>
      <c r="C20" t="s">
        <v>44</v>
      </c>
      <c r="D20" s="1">
        <v>19.64</v>
      </c>
      <c r="E20" s="2">
        <v>11.5</v>
      </c>
      <c r="F20" s="2">
        <v>225.86</v>
      </c>
      <c r="G20" t="s">
        <v>13</v>
      </c>
      <c r="H20">
        <f ca="1">IF(225.86&lt;&gt;225.86,0,0)</f>
        <v>0</v>
      </c>
      <c r="I20" t="s">
        <v>14</v>
      </c>
      <c r="J20" t="s">
        <v>14</v>
      </c>
    </row>
    <row r="21" spans="1:10">
      <c r="A21" t="s">
        <v>45</v>
      </c>
      <c r="B21" t="s">
        <v>11</v>
      </c>
      <c r="C21" t="s">
        <v>29</v>
      </c>
      <c r="D21" s="1">
        <v>19.69</v>
      </c>
      <c r="E21" s="2">
        <v>4.55</v>
      </c>
      <c r="F21" s="2">
        <v>89.59</v>
      </c>
      <c r="G21" t="s">
        <v>13</v>
      </c>
      <c r="H21">
        <f ca="1">IF(89.59&lt;&gt;89.59,0,0)</f>
        <v>0</v>
      </c>
      <c r="I21" t="s">
        <v>14</v>
      </c>
      <c r="J21" t="s">
        <v>14</v>
      </c>
    </row>
    <row r="22" spans="1:10">
      <c r="A22" t="s">
        <v>46</v>
      </c>
      <c r="B22" t="s">
        <v>11</v>
      </c>
      <c r="C22" t="s">
        <v>47</v>
      </c>
      <c r="D22" s="1">
        <v>19.68</v>
      </c>
      <c r="E22" s="2">
        <v>6.2</v>
      </c>
      <c r="F22" s="2">
        <v>122.02</v>
      </c>
      <c r="G22" t="s">
        <v>13</v>
      </c>
      <c r="H22">
        <f ca="1">IF(122.02&lt;&gt;122.02,0,0)</f>
        <v>0</v>
      </c>
      <c r="I22" t="s">
        <v>14</v>
      </c>
      <c r="J22" t="s">
        <v>14</v>
      </c>
    </row>
    <row r="23" spans="1:10">
      <c r="A23" t="s">
        <v>48</v>
      </c>
      <c r="B23" t="s">
        <v>11</v>
      </c>
      <c r="C23" t="s">
        <v>16</v>
      </c>
      <c r="D23" s="1">
        <v>19.73</v>
      </c>
      <c r="E23" s="2">
        <v>4.55</v>
      </c>
      <c r="F23" s="2">
        <v>89.77</v>
      </c>
      <c r="G23" t="s">
        <v>13</v>
      </c>
      <c r="H23">
        <f ca="1">IF(89.77&lt;&gt;89.77,0,0)</f>
        <v>0</v>
      </c>
      <c r="I23" t="s">
        <v>14</v>
      </c>
      <c r="J23" t="s">
        <v>14</v>
      </c>
    </row>
    <row r="24" spans="1:10">
      <c r="A24" t="s">
        <v>49</v>
      </c>
      <c r="B24" t="s">
        <v>11</v>
      </c>
      <c r="C24" t="s">
        <v>50</v>
      </c>
      <c r="D24" s="1">
        <v>19.81</v>
      </c>
      <c r="E24" s="2">
        <v>6.2</v>
      </c>
      <c r="F24" s="2">
        <v>122.82</v>
      </c>
      <c r="G24" t="s">
        <v>13</v>
      </c>
      <c r="H24">
        <f ca="1">IF(122.82&lt;&gt;122.82,0,0)</f>
        <v>0</v>
      </c>
      <c r="I24" t="s">
        <v>14</v>
      </c>
      <c r="J24" t="s">
        <v>14</v>
      </c>
    </row>
    <row r="25" spans="1:10">
      <c r="A25" t="s">
        <v>51</v>
      </c>
      <c r="B25" t="s">
        <v>11</v>
      </c>
      <c r="C25" t="s">
        <v>52</v>
      </c>
      <c r="D25" s="1">
        <v>19.84</v>
      </c>
      <c r="E25" s="2">
        <v>5.45</v>
      </c>
      <c r="F25" s="2">
        <v>108.13</v>
      </c>
      <c r="G25" t="s">
        <v>13</v>
      </c>
      <c r="H25">
        <f ca="1">IF(108.13&lt;&gt;108.13,0,0)</f>
        <v>0</v>
      </c>
      <c r="I25" t="s">
        <v>14</v>
      </c>
      <c r="J25" t="s">
        <v>14</v>
      </c>
    </row>
    <row r="26" spans="1:10">
      <c r="A26" t="s">
        <v>53</v>
      </c>
      <c r="B26" t="s">
        <v>11</v>
      </c>
      <c r="C26" t="s">
        <v>25</v>
      </c>
      <c r="D26" s="1">
        <v>19.63</v>
      </c>
      <c r="E26" s="2">
        <v>5.95</v>
      </c>
      <c r="F26" s="2">
        <v>116.8</v>
      </c>
      <c r="G26" t="s">
        <v>13</v>
      </c>
      <c r="H26">
        <f ca="1">IF(116.8&lt;&gt;116.8,0,0)</f>
        <v>0</v>
      </c>
      <c r="I26" t="s">
        <v>14</v>
      </c>
      <c r="J26" t="s">
        <v>14</v>
      </c>
    </row>
    <row r="27" spans="1:10">
      <c r="A27" t="s">
        <v>54</v>
      </c>
      <c r="B27" t="s">
        <v>11</v>
      </c>
      <c r="C27" t="s">
        <v>16</v>
      </c>
      <c r="D27" s="1">
        <v>19.7</v>
      </c>
      <c r="E27" s="2">
        <v>4.55</v>
      </c>
      <c r="F27" s="2">
        <v>89.64</v>
      </c>
      <c r="G27" t="s">
        <v>13</v>
      </c>
      <c r="H27">
        <f ca="1">IF(89.64&lt;&gt;89.64,0,0)</f>
        <v>0</v>
      </c>
      <c r="I27" t="s">
        <v>14</v>
      </c>
      <c r="J27" t="s">
        <v>14</v>
      </c>
    </row>
    <row r="28" spans="1:10">
      <c r="A28" t="s">
        <v>55</v>
      </c>
      <c r="B28" t="s">
        <v>11</v>
      </c>
      <c r="C28" t="s">
        <v>56</v>
      </c>
      <c r="D28" s="1">
        <v>19.69</v>
      </c>
      <c r="E28" s="2">
        <v>5.45</v>
      </c>
      <c r="F28" s="2">
        <v>107.31</v>
      </c>
      <c r="G28" t="s">
        <v>13</v>
      </c>
      <c r="H28">
        <f ca="1">IF(107.31&lt;&gt;107.31,0,0)</f>
        <v>0</v>
      </c>
      <c r="I28" t="s">
        <v>14</v>
      </c>
      <c r="J28" t="s">
        <v>14</v>
      </c>
    </row>
    <row r="29" spans="1:10">
      <c r="A29" t="s">
        <v>57</v>
      </c>
      <c r="B29" t="s">
        <v>11</v>
      </c>
      <c r="C29" t="s">
        <v>16</v>
      </c>
      <c r="D29" s="1">
        <v>19.64</v>
      </c>
      <c r="E29" s="2">
        <v>4.55</v>
      </c>
      <c r="F29" s="2">
        <v>89.36</v>
      </c>
      <c r="G29" t="s">
        <v>13</v>
      </c>
      <c r="H29">
        <f ca="1">IF(89.36&lt;&gt;89.36,0,0)</f>
        <v>0</v>
      </c>
      <c r="I29" t="s">
        <v>14</v>
      </c>
      <c r="J29" t="s">
        <v>14</v>
      </c>
    </row>
    <row r="30" spans="1:10">
      <c r="A30" t="s">
        <v>58</v>
      </c>
      <c r="B30" t="s">
        <v>11</v>
      </c>
      <c r="C30" t="s">
        <v>59</v>
      </c>
      <c r="D30" s="1">
        <v>19.69</v>
      </c>
      <c r="E30" s="2">
        <v>5.15</v>
      </c>
      <c r="F30" s="2">
        <v>101.4</v>
      </c>
      <c r="G30" t="s">
        <v>13</v>
      </c>
      <c r="H30">
        <f ca="1">IF(101.4&lt;&gt;101.4,0,0)</f>
        <v>0</v>
      </c>
      <c r="I30" t="s">
        <v>14</v>
      </c>
      <c r="J30" t="s">
        <v>14</v>
      </c>
    </row>
    <row r="31" spans="1:10">
      <c r="A31" t="s">
        <v>60</v>
      </c>
      <c r="B31" t="s">
        <v>11</v>
      </c>
      <c r="C31" t="s">
        <v>20</v>
      </c>
      <c r="D31" s="1">
        <v>19.64</v>
      </c>
      <c r="E31" s="2">
        <v>5.45</v>
      </c>
      <c r="F31" s="2">
        <v>107.04</v>
      </c>
      <c r="G31" t="s">
        <v>13</v>
      </c>
      <c r="H31">
        <f ca="1">IF(107.04&lt;&gt;107.04,0,0)</f>
        <v>0</v>
      </c>
      <c r="I31" t="s">
        <v>14</v>
      </c>
      <c r="J31" t="s">
        <v>14</v>
      </c>
    </row>
    <row r="32" spans="1:10">
      <c r="A32" t="s">
        <v>61</v>
      </c>
      <c r="B32" t="s">
        <v>11</v>
      </c>
      <c r="C32" t="s">
        <v>25</v>
      </c>
      <c r="D32" s="1">
        <v>19.67</v>
      </c>
      <c r="E32" s="2">
        <v>5.95</v>
      </c>
      <c r="F32" s="2">
        <v>117.04</v>
      </c>
      <c r="G32" t="s">
        <v>13</v>
      </c>
      <c r="H32">
        <f ca="1">IF(117.04&lt;&gt;117.04,0,0)</f>
        <v>0</v>
      </c>
      <c r="I32" t="s">
        <v>14</v>
      </c>
      <c r="J32" t="s">
        <v>14</v>
      </c>
    </row>
    <row r="33" spans="1:10">
      <c r="A33" t="s">
        <v>62</v>
      </c>
      <c r="B33" t="s">
        <v>11</v>
      </c>
      <c r="C33" t="s">
        <v>29</v>
      </c>
      <c r="D33" s="1">
        <v>19.7</v>
      </c>
      <c r="E33" s="2">
        <v>4.55</v>
      </c>
      <c r="F33" s="2">
        <v>89.64</v>
      </c>
      <c r="G33" t="s">
        <v>13</v>
      </c>
      <c r="H33">
        <f ca="1">IF(89.64&lt;&gt;89.64,0,0)</f>
        <v>0</v>
      </c>
      <c r="I33" t="s">
        <v>14</v>
      </c>
      <c r="J33" t="s">
        <v>14</v>
      </c>
    </row>
    <row r="34" spans="1:10">
      <c r="A34" t="s">
        <v>63</v>
      </c>
      <c r="B34" t="s">
        <v>11</v>
      </c>
      <c r="C34" t="s">
        <v>64</v>
      </c>
      <c r="D34" s="1">
        <v>19.75</v>
      </c>
      <c r="E34" s="2">
        <v>13</v>
      </c>
      <c r="F34" s="2">
        <v>256.75</v>
      </c>
      <c r="G34" t="s">
        <v>13</v>
      </c>
      <c r="H34">
        <f ca="1">IF(256.75&lt;&gt;256.75,0,0)</f>
        <v>0</v>
      </c>
      <c r="I34" t="s">
        <v>14</v>
      </c>
      <c r="J34" t="s">
        <v>14</v>
      </c>
    </row>
    <row r="35" spans="1:10">
      <c r="A35" t="s">
        <v>65</v>
      </c>
      <c r="B35" t="s">
        <v>11</v>
      </c>
      <c r="C35" t="s">
        <v>25</v>
      </c>
      <c r="D35" s="1">
        <v>19.77</v>
      </c>
      <c r="E35" s="2">
        <v>5.95</v>
      </c>
      <c r="F35" s="2">
        <v>117.63</v>
      </c>
      <c r="G35" t="s">
        <v>13</v>
      </c>
      <c r="H35">
        <f ca="1">IF(117.63&lt;&gt;117.63,0,0)</f>
        <v>0</v>
      </c>
      <c r="I35" t="s">
        <v>14</v>
      </c>
      <c r="J35" t="s">
        <v>14</v>
      </c>
    </row>
    <row r="36" spans="1:10">
      <c r="A36" t="s">
        <v>66</v>
      </c>
      <c r="B36" t="s">
        <v>67</v>
      </c>
      <c r="C36" t="s">
        <v>68</v>
      </c>
      <c r="D36" s="1">
        <v>19.36</v>
      </c>
      <c r="E36" s="2">
        <v>6.95</v>
      </c>
      <c r="F36" s="2">
        <v>134.55</v>
      </c>
      <c r="G36" t="s">
        <v>69</v>
      </c>
      <c r="H36">
        <f ca="1">IF(134.55&lt;&gt;134.55,0,0)</f>
        <v>0</v>
      </c>
      <c r="I36" t="s">
        <v>14</v>
      </c>
      <c r="J36" t="s">
        <v>14</v>
      </c>
    </row>
    <row r="37" spans="1:10">
      <c r="A37" t="s">
        <v>70</v>
      </c>
      <c r="B37" t="s">
        <v>67</v>
      </c>
      <c r="C37" t="s">
        <v>71</v>
      </c>
      <c r="D37" s="1">
        <v>19.56</v>
      </c>
      <c r="E37" s="2">
        <v>5.95</v>
      </c>
      <c r="F37" s="2">
        <v>116.38</v>
      </c>
      <c r="G37" t="s">
        <v>69</v>
      </c>
      <c r="H37">
        <f ca="1">IF(116.38&lt;&gt;116.38,0,0)</f>
        <v>0</v>
      </c>
      <c r="I37" t="s">
        <v>14</v>
      </c>
      <c r="J37" t="s">
        <v>14</v>
      </c>
    </row>
    <row r="38" spans="1:10">
      <c r="A38" t="s">
        <v>72</v>
      </c>
      <c r="B38" t="s">
        <v>67</v>
      </c>
      <c r="C38" t="s">
        <v>73</v>
      </c>
      <c r="D38" s="1">
        <v>1</v>
      </c>
      <c r="E38" s="2">
        <v>134.55</v>
      </c>
      <c r="F38" s="2">
        <v>134.55</v>
      </c>
      <c r="G38" t="s">
        <v>69</v>
      </c>
      <c r="H38">
        <f ca="1">IF(134.55&lt;&gt;134.55,0,0)</f>
        <v>0</v>
      </c>
      <c r="I38" t="s">
        <v>14</v>
      </c>
      <c r="J38" t="s">
        <v>14</v>
      </c>
    </row>
    <row r="39" spans="1:10">
      <c r="A39" t="s">
        <v>74</v>
      </c>
      <c r="B39" t="s">
        <v>67</v>
      </c>
      <c r="C39" t="s">
        <v>75</v>
      </c>
      <c r="D39" s="1">
        <v>19.57</v>
      </c>
      <c r="E39" s="2">
        <v>5.95</v>
      </c>
      <c r="F39" s="2">
        <v>116.44</v>
      </c>
      <c r="G39" t="s">
        <v>69</v>
      </c>
      <c r="H39">
        <f ca="1">IF(116.44&lt;&gt;116.44,0,0)</f>
        <v>0</v>
      </c>
      <c r="I39" t="s">
        <v>14</v>
      </c>
      <c r="J39" t="s">
        <v>14</v>
      </c>
    </row>
    <row r="40" spans="1:10">
      <c r="A40" t="s">
        <v>76</v>
      </c>
      <c r="B40" t="s">
        <v>67</v>
      </c>
      <c r="C40" t="s">
        <v>77</v>
      </c>
      <c r="D40" s="1">
        <v>19.37</v>
      </c>
      <c r="E40" s="2">
        <v>3.7</v>
      </c>
      <c r="F40" s="2">
        <v>71.67</v>
      </c>
      <c r="G40" t="s">
        <v>69</v>
      </c>
      <c r="H40">
        <f ca="1">IF(71.67&lt;&gt;71.67,0,0)</f>
        <v>0</v>
      </c>
      <c r="I40" t="s">
        <v>14</v>
      </c>
      <c r="J40" t="s">
        <v>14</v>
      </c>
    </row>
    <row r="41" spans="1:10">
      <c r="A41" t="s">
        <v>78</v>
      </c>
      <c r="B41" t="s">
        <v>67</v>
      </c>
      <c r="C41" t="s">
        <v>79</v>
      </c>
      <c r="D41" s="1">
        <v>19.5</v>
      </c>
      <c r="E41" s="2">
        <v>5.15</v>
      </c>
      <c r="F41" s="2">
        <v>100.43</v>
      </c>
      <c r="G41" t="s">
        <v>69</v>
      </c>
      <c r="H41">
        <f ca="1">IF(100.43&lt;&gt;100.43,0,0)</f>
        <v>0</v>
      </c>
      <c r="I41" t="s">
        <v>14</v>
      </c>
      <c r="J41" t="s">
        <v>14</v>
      </c>
    </row>
    <row r="42" spans="1:10">
      <c r="A42" t="s">
        <v>80</v>
      </c>
      <c r="B42" t="s">
        <v>67</v>
      </c>
      <c r="C42" t="s">
        <v>81</v>
      </c>
      <c r="D42" s="1">
        <v>19.4</v>
      </c>
      <c r="E42" s="2">
        <v>4.4</v>
      </c>
      <c r="F42" s="2">
        <v>85.36</v>
      </c>
      <c r="G42" t="s">
        <v>69</v>
      </c>
      <c r="H42">
        <f ca="1">IF(85.36&lt;&gt;85.36,0,0)</f>
        <v>0</v>
      </c>
      <c r="I42" t="s">
        <v>14</v>
      </c>
      <c r="J42" t="s">
        <v>14</v>
      </c>
    </row>
    <row r="43" spans="1:10">
      <c r="A43" t="s">
        <v>82</v>
      </c>
      <c r="B43" t="s">
        <v>67</v>
      </c>
      <c r="C43" t="s">
        <v>77</v>
      </c>
      <c r="D43" s="1">
        <v>19.37</v>
      </c>
      <c r="E43" s="2">
        <v>3.7</v>
      </c>
      <c r="F43" s="2">
        <v>71.67</v>
      </c>
      <c r="G43" t="s">
        <v>69</v>
      </c>
      <c r="H43">
        <f ca="1">IF(71.67&lt;&gt;71.67,0,0)</f>
        <v>0</v>
      </c>
      <c r="I43" t="s">
        <v>14</v>
      </c>
      <c r="J43" t="s">
        <v>14</v>
      </c>
    </row>
    <row r="44" spans="1:10">
      <c r="A44" t="s">
        <v>83</v>
      </c>
      <c r="B44" t="s">
        <v>67</v>
      </c>
      <c r="C44" t="s">
        <v>84</v>
      </c>
      <c r="D44" s="1">
        <v>19.49</v>
      </c>
      <c r="E44" s="2">
        <v>6.4</v>
      </c>
      <c r="F44" s="2">
        <v>124.74</v>
      </c>
      <c r="G44" t="s">
        <v>69</v>
      </c>
      <c r="H44">
        <f ca="1">IF(124.74&lt;&gt;124.74,0,0)</f>
        <v>0</v>
      </c>
      <c r="I44" t="s">
        <v>14</v>
      </c>
      <c r="J44" t="s">
        <v>14</v>
      </c>
    </row>
    <row r="45" spans="1:10">
      <c r="A45" t="s">
        <v>85</v>
      </c>
      <c r="B45" t="s">
        <v>67</v>
      </c>
      <c r="C45" t="s">
        <v>86</v>
      </c>
      <c r="D45" s="1">
        <v>19.5</v>
      </c>
      <c r="E45" s="2">
        <v>5.95</v>
      </c>
      <c r="F45" s="2">
        <v>116.03</v>
      </c>
      <c r="G45" t="s">
        <v>69</v>
      </c>
      <c r="H45">
        <f ca="1">IF(116.03&lt;&gt;116.02,0.010000000000005116,0)</f>
        <v>0</v>
      </c>
      <c r="I45" t="s">
        <v>14</v>
      </c>
      <c r="J45" t="s">
        <v>14</v>
      </c>
    </row>
    <row r="46" spans="1:10">
      <c r="A46" t="s">
        <v>87</v>
      </c>
      <c r="B46" t="s">
        <v>67</v>
      </c>
      <c r="C46" t="s">
        <v>88</v>
      </c>
      <c r="D46" s="1">
        <v>19.46</v>
      </c>
      <c r="E46" s="2">
        <v>5.7</v>
      </c>
      <c r="F46" s="2">
        <v>110.92</v>
      </c>
      <c r="G46" t="s">
        <v>69</v>
      </c>
      <c r="H46">
        <f ca="1">IF(110.92&lt;&gt;110.92,0,0)</f>
        <v>0</v>
      </c>
      <c r="I46" t="s">
        <v>14</v>
      </c>
      <c r="J46" t="s">
        <v>14</v>
      </c>
    </row>
    <row r="47" spans="1:10">
      <c r="A47" t="s">
        <v>89</v>
      </c>
      <c r="B47" t="s">
        <v>67</v>
      </c>
      <c r="C47" t="s">
        <v>90</v>
      </c>
      <c r="D47" s="1">
        <v>19.42</v>
      </c>
      <c r="E47" s="2">
        <v>3.7</v>
      </c>
      <c r="F47" s="2">
        <v>71.85</v>
      </c>
      <c r="G47" t="s">
        <v>69</v>
      </c>
      <c r="H47">
        <f ca="1">IF(71.85&lt;&gt;71.85,0,0)</f>
        <v>0</v>
      </c>
      <c r="I47" t="s">
        <v>14</v>
      </c>
      <c r="J47" t="s">
        <v>14</v>
      </c>
    </row>
    <row r="48" spans="1:10">
      <c r="A48" t="s">
        <v>91</v>
      </c>
      <c r="B48" t="s">
        <v>67</v>
      </c>
      <c r="C48" t="s">
        <v>92</v>
      </c>
      <c r="D48" s="1">
        <v>19.65</v>
      </c>
      <c r="E48" s="2">
        <v>6.2</v>
      </c>
      <c r="F48" s="2">
        <v>121.83</v>
      </c>
      <c r="G48" t="s">
        <v>69</v>
      </c>
      <c r="H48">
        <f ca="1">IF(121.83&lt;&gt;121.83,0,0)</f>
        <v>0</v>
      </c>
      <c r="I48" t="s">
        <v>14</v>
      </c>
      <c r="J48" t="s">
        <v>14</v>
      </c>
    </row>
    <row r="49" spans="1:10">
      <c r="A49" t="s">
        <v>93</v>
      </c>
      <c r="B49" t="s">
        <v>67</v>
      </c>
      <c r="C49" t="s">
        <v>94</v>
      </c>
      <c r="D49" s="1">
        <v>19.54</v>
      </c>
      <c r="E49" s="2">
        <v>3.7</v>
      </c>
      <c r="F49" s="2">
        <v>72.3</v>
      </c>
      <c r="G49" t="s">
        <v>69</v>
      </c>
      <c r="H49">
        <f ca="1">IF(72.3&lt;&gt;72.3,0,0)</f>
        <v>0</v>
      </c>
      <c r="I49" t="s">
        <v>14</v>
      </c>
      <c r="J49" t="s">
        <v>14</v>
      </c>
    </row>
    <row r="50" spans="1:10">
      <c r="A50" t="s">
        <v>95</v>
      </c>
      <c r="B50" t="s">
        <v>67</v>
      </c>
      <c r="C50" t="s">
        <v>96</v>
      </c>
      <c r="D50" s="1">
        <v>19.63</v>
      </c>
      <c r="E50" s="2">
        <v>3.35</v>
      </c>
      <c r="F50" s="2">
        <v>65.76</v>
      </c>
      <c r="G50" t="s">
        <v>69</v>
      </c>
      <c r="H50">
        <f ca="1">IF(65.76&lt;&gt;65.76,0,0)</f>
        <v>0</v>
      </c>
      <c r="I50" t="s">
        <v>14</v>
      </c>
      <c r="J50" t="s">
        <v>14</v>
      </c>
    </row>
    <row r="51" spans="1:10">
      <c r="A51" t="s">
        <v>97</v>
      </c>
      <c r="B51" t="s">
        <v>67</v>
      </c>
      <c r="C51" t="s">
        <v>98</v>
      </c>
      <c r="D51" s="1">
        <v>19.66</v>
      </c>
      <c r="E51" s="2">
        <v>5.55</v>
      </c>
      <c r="F51" s="2">
        <v>109.11</v>
      </c>
      <c r="G51" t="s">
        <v>69</v>
      </c>
      <c r="H51">
        <f ca="1">IF(109.11&lt;&gt;109.11,0,0)</f>
        <v>0</v>
      </c>
      <c r="I51" t="s">
        <v>14</v>
      </c>
      <c r="J51" t="s">
        <v>14</v>
      </c>
    </row>
    <row r="52" spans="1:10">
      <c r="A52" t="s">
        <v>99</v>
      </c>
      <c r="B52" t="s">
        <v>67</v>
      </c>
      <c r="C52" t="s">
        <v>100</v>
      </c>
      <c r="D52" s="1">
        <v>19.6</v>
      </c>
      <c r="E52" s="2">
        <v>5.45</v>
      </c>
      <c r="F52" s="2">
        <v>106.82</v>
      </c>
      <c r="G52" t="s">
        <v>69</v>
      </c>
      <c r="H52">
        <f ca="1">IF(106.82&lt;&gt;106.82,0,0)</f>
        <v>0</v>
      </c>
      <c r="I52" t="s">
        <v>14</v>
      </c>
      <c r="J52" t="s">
        <v>14</v>
      </c>
    </row>
    <row r="53" spans="1:10">
      <c r="A53" t="s">
        <v>101</v>
      </c>
      <c r="B53" t="s">
        <v>67</v>
      </c>
      <c r="C53" t="s">
        <v>102</v>
      </c>
      <c r="D53" s="1">
        <v>19.5</v>
      </c>
      <c r="E53" s="2">
        <v>4.55</v>
      </c>
      <c r="F53" s="2">
        <v>88.73</v>
      </c>
      <c r="G53" t="s">
        <v>69</v>
      </c>
      <c r="H53">
        <f ca="1">IF(88.73&lt;&gt;88.72,0.010000000000005116,0)</f>
        <v>0</v>
      </c>
      <c r="I53" t="s">
        <v>14</v>
      </c>
      <c r="J53" t="s">
        <v>14</v>
      </c>
    </row>
    <row r="54" spans="1:10">
      <c r="A54" t="s">
        <v>103</v>
      </c>
      <c r="B54" t="s">
        <v>67</v>
      </c>
      <c r="C54" t="s">
        <v>88</v>
      </c>
      <c r="D54" s="1">
        <v>19.6</v>
      </c>
      <c r="E54" s="2">
        <v>5.7</v>
      </c>
      <c r="F54" s="2">
        <v>111.72</v>
      </c>
      <c r="G54" t="s">
        <v>69</v>
      </c>
      <c r="H54">
        <f ca="1">IF(111.72&lt;&gt;111.72,0,0)</f>
        <v>0</v>
      </c>
      <c r="I54" t="s">
        <v>14</v>
      </c>
      <c r="J54" t="s">
        <v>14</v>
      </c>
    </row>
    <row r="55" spans="1:10">
      <c r="A55" t="s">
        <v>104</v>
      </c>
      <c r="B55" t="s">
        <v>67</v>
      </c>
      <c r="C55" t="s">
        <v>77</v>
      </c>
      <c r="D55" s="1">
        <v>19.64</v>
      </c>
      <c r="E55" s="2">
        <v>3.7</v>
      </c>
      <c r="F55" s="2">
        <v>72.67</v>
      </c>
      <c r="G55" t="s">
        <v>69</v>
      </c>
      <c r="H55">
        <f ca="1">IF(72.67&lt;&gt;72.67,0,0)</f>
        <v>0</v>
      </c>
      <c r="I55" t="s">
        <v>14</v>
      </c>
      <c r="J55" t="s">
        <v>14</v>
      </c>
    </row>
    <row r="56" spans="1:10">
      <c r="A56" t="s">
        <v>105</v>
      </c>
      <c r="B56" t="s">
        <v>67</v>
      </c>
      <c r="C56" t="s">
        <v>106</v>
      </c>
      <c r="D56" s="1">
        <v>19.63</v>
      </c>
      <c r="E56" s="2">
        <v>4.55</v>
      </c>
      <c r="F56" s="2">
        <v>89.32</v>
      </c>
      <c r="G56" t="s">
        <v>69</v>
      </c>
      <c r="H56">
        <f ca="1">IF(89.32&lt;&gt;89.32,0,0)</f>
        <v>0</v>
      </c>
      <c r="I56" t="s">
        <v>14</v>
      </c>
      <c r="J56" t="s">
        <v>14</v>
      </c>
    </row>
    <row r="57" spans="1:10">
      <c r="A57" t="s">
        <v>107</v>
      </c>
      <c r="B57" t="s">
        <v>67</v>
      </c>
      <c r="C57" t="s">
        <v>108</v>
      </c>
      <c r="D57" s="1">
        <v>19.64</v>
      </c>
      <c r="E57" s="2">
        <v>5.7</v>
      </c>
      <c r="F57" s="2">
        <v>111.95</v>
      </c>
      <c r="G57" t="s">
        <v>69</v>
      </c>
      <c r="H57">
        <f ca="1">IF(111.95&lt;&gt;111.95,0,0)</f>
        <v>0</v>
      </c>
      <c r="I57" t="s">
        <v>14</v>
      </c>
      <c r="J57" t="s">
        <v>14</v>
      </c>
    </row>
    <row r="58" spans="1:10">
      <c r="A58" t="s">
        <v>109</v>
      </c>
      <c r="B58" t="s">
        <v>67</v>
      </c>
      <c r="C58" t="s">
        <v>110</v>
      </c>
      <c r="D58" s="1">
        <v>19.64</v>
      </c>
      <c r="E58" s="2">
        <v>6.2</v>
      </c>
      <c r="F58" s="2">
        <v>121.77</v>
      </c>
      <c r="G58" t="s">
        <v>69</v>
      </c>
      <c r="H58">
        <f ca="1">IF(121.77&lt;&gt;121.77,0,0)</f>
        <v>0</v>
      </c>
      <c r="I58" t="s">
        <v>14</v>
      </c>
      <c r="J58" t="s">
        <v>14</v>
      </c>
    </row>
    <row r="59" spans="1:10">
      <c r="A59" t="s">
        <v>111</v>
      </c>
      <c r="B59" t="s">
        <v>67</v>
      </c>
      <c r="C59" t="s">
        <v>108</v>
      </c>
      <c r="D59" s="1">
        <v>19.61</v>
      </c>
      <c r="E59" s="2">
        <v>5.7</v>
      </c>
      <c r="F59" s="2">
        <v>111.78</v>
      </c>
      <c r="G59" t="s">
        <v>69</v>
      </c>
      <c r="H59">
        <f ca="1">IF(111.78&lt;&gt;111.78,0,0)</f>
        <v>0</v>
      </c>
      <c r="I59" t="s">
        <v>14</v>
      </c>
      <c r="J59" t="s">
        <v>14</v>
      </c>
    </row>
    <row r="60" spans="1:10">
      <c r="A60" t="s">
        <v>112</v>
      </c>
      <c r="B60" t="s">
        <v>67</v>
      </c>
      <c r="C60" t="s">
        <v>94</v>
      </c>
      <c r="D60" s="1">
        <v>19.56</v>
      </c>
      <c r="E60" s="2">
        <v>3.7</v>
      </c>
      <c r="F60" s="2">
        <v>72.37</v>
      </c>
      <c r="G60" t="s">
        <v>69</v>
      </c>
      <c r="H60">
        <f ca="1">IF(72.37&lt;&gt;72.37,0,0)</f>
        <v>0</v>
      </c>
      <c r="I60" t="s">
        <v>14</v>
      </c>
      <c r="J60" t="s">
        <v>14</v>
      </c>
    </row>
    <row r="61" spans="1:10">
      <c r="A61" t="s">
        <v>113</v>
      </c>
      <c r="B61" t="s">
        <v>67</v>
      </c>
      <c r="C61" t="s">
        <v>108</v>
      </c>
      <c r="D61" s="1">
        <v>19.57</v>
      </c>
      <c r="E61" s="2">
        <v>5.7</v>
      </c>
      <c r="F61" s="2">
        <v>111.55</v>
      </c>
      <c r="G61" t="s">
        <v>69</v>
      </c>
      <c r="H61">
        <f ca="1">IF(111.55&lt;&gt;111.55,0,0)</f>
        <v>0</v>
      </c>
      <c r="I61" t="s">
        <v>14</v>
      </c>
      <c r="J61" t="s">
        <v>14</v>
      </c>
    </row>
    <row r="62" spans="1:10">
      <c r="A62" t="s">
        <v>114</v>
      </c>
      <c r="B62" t="s">
        <v>67</v>
      </c>
      <c r="C62" t="s">
        <v>106</v>
      </c>
      <c r="D62" s="1">
        <v>19.62</v>
      </c>
      <c r="E62" s="2">
        <v>4.55</v>
      </c>
      <c r="F62" s="2">
        <v>89.27</v>
      </c>
      <c r="G62" t="s">
        <v>69</v>
      </c>
      <c r="H62">
        <f ca="1">IF(89.27&lt;&gt;89.27,0,0)</f>
        <v>0</v>
      </c>
      <c r="I62" t="s">
        <v>14</v>
      </c>
      <c r="J62" t="s">
        <v>14</v>
      </c>
    </row>
    <row r="63" spans="1:10">
      <c r="A63" t="s">
        <v>115</v>
      </c>
      <c r="B63" t="s">
        <v>67</v>
      </c>
      <c r="C63" t="s">
        <v>116</v>
      </c>
      <c r="D63" s="1">
        <v>19.64</v>
      </c>
      <c r="E63" s="2">
        <v>5.95</v>
      </c>
      <c r="F63" s="2">
        <v>116.86</v>
      </c>
      <c r="G63" t="s">
        <v>69</v>
      </c>
      <c r="H63">
        <f ca="1">IF(116.86&lt;&gt;116.86,0,0)</f>
        <v>0</v>
      </c>
      <c r="I63" t="s">
        <v>14</v>
      </c>
      <c r="J63" t="s">
        <v>14</v>
      </c>
    </row>
    <row r="64" spans="1:10">
      <c r="A64" t="s">
        <v>117</v>
      </c>
      <c r="B64" t="s">
        <v>67</v>
      </c>
      <c r="C64" t="s">
        <v>118</v>
      </c>
      <c r="D64" s="1">
        <v>19.65</v>
      </c>
      <c r="E64" s="2">
        <v>5.15</v>
      </c>
      <c r="F64" s="2">
        <v>101.2</v>
      </c>
      <c r="G64" t="s">
        <v>69</v>
      </c>
      <c r="H64">
        <f ca="1">IF(101.2&lt;&gt;101.2,0,0)</f>
        <v>0</v>
      </c>
      <c r="I64" t="s">
        <v>14</v>
      </c>
      <c r="J64" t="s">
        <v>14</v>
      </c>
    </row>
    <row r="65" spans="1:10">
      <c r="A65" t="s">
        <v>119</v>
      </c>
      <c r="B65" t="s">
        <v>67</v>
      </c>
      <c r="C65" t="s">
        <v>120</v>
      </c>
      <c r="D65" s="1">
        <v>19.76</v>
      </c>
      <c r="E65" s="2">
        <v>5.7</v>
      </c>
      <c r="F65" s="2">
        <v>112.63</v>
      </c>
      <c r="G65" t="s">
        <v>69</v>
      </c>
      <c r="H65">
        <f ca="1">IF(112.63&lt;&gt;112.63,0,0)</f>
        <v>0</v>
      </c>
      <c r="I65" t="s">
        <v>14</v>
      </c>
      <c r="J65" t="s">
        <v>14</v>
      </c>
    </row>
    <row r="66" spans="1:10">
      <c r="A66" t="s">
        <v>121</v>
      </c>
      <c r="B66" t="s">
        <v>67</v>
      </c>
      <c r="C66" t="s">
        <v>122</v>
      </c>
      <c r="D66" s="1">
        <v>19.81</v>
      </c>
      <c r="E66" s="2">
        <v>4.95</v>
      </c>
      <c r="F66" s="2">
        <v>98.06</v>
      </c>
      <c r="G66" t="s">
        <v>69</v>
      </c>
      <c r="H66">
        <f ca="1">IF(98.06&lt;&gt;98.06,0,0)</f>
        <v>0</v>
      </c>
      <c r="I66" t="s">
        <v>14</v>
      </c>
      <c r="J66" t="s">
        <v>14</v>
      </c>
    </row>
    <row r="67" spans="1:10">
      <c r="A67" t="s">
        <v>123</v>
      </c>
      <c r="B67" t="s">
        <v>67</v>
      </c>
      <c r="C67" t="s">
        <v>124</v>
      </c>
      <c r="D67" s="1">
        <v>19.68</v>
      </c>
      <c r="E67" s="2">
        <v>7.1</v>
      </c>
      <c r="F67" s="2">
        <v>139.73</v>
      </c>
      <c r="G67" t="s">
        <v>69</v>
      </c>
      <c r="H67">
        <f ca="1">IF(139.73&lt;&gt;139.73,0,0)</f>
        <v>0</v>
      </c>
      <c r="I67" t="s">
        <v>14</v>
      </c>
      <c r="J67" t="s">
        <v>14</v>
      </c>
    </row>
    <row r="68" spans="1:10">
      <c r="A68" t="s">
        <v>125</v>
      </c>
      <c r="B68" t="s">
        <v>67</v>
      </c>
      <c r="C68" t="s">
        <v>126</v>
      </c>
      <c r="D68" s="1">
        <v>19.73</v>
      </c>
      <c r="E68" s="2">
        <v>3.7</v>
      </c>
      <c r="F68" s="2">
        <v>73</v>
      </c>
      <c r="G68" t="s">
        <v>69</v>
      </c>
      <c r="H68">
        <f ca="1">IF(73&lt;&gt;73,0,0)</f>
        <v>0</v>
      </c>
      <c r="I68" t="s">
        <v>14</v>
      </c>
      <c r="J68" t="s">
        <v>14</v>
      </c>
    </row>
    <row r="69" spans="1:10">
      <c r="A69" t="s">
        <v>127</v>
      </c>
      <c r="B69" t="s">
        <v>128</v>
      </c>
      <c r="C69" t="s">
        <v>129</v>
      </c>
      <c r="D69" s="1">
        <v>19.64</v>
      </c>
      <c r="E69" s="2">
        <v>6.2</v>
      </c>
      <c r="F69" s="2">
        <v>121.77</v>
      </c>
      <c r="G69" t="s">
        <v>130</v>
      </c>
      <c r="H69">
        <f ca="1">IF(121.77&lt;&gt;121.77,0,0)</f>
        <v>0</v>
      </c>
      <c r="I69" t="s">
        <v>14</v>
      </c>
      <c r="J69" t="s">
        <v>14</v>
      </c>
    </row>
    <row r="70" spans="1:10">
      <c r="A70" t="s">
        <v>131</v>
      </c>
      <c r="B70" t="s">
        <v>128</v>
      </c>
      <c r="C70" t="s">
        <v>75</v>
      </c>
      <c r="D70" s="1">
        <v>19.8</v>
      </c>
      <c r="E70" s="2">
        <v>5.95</v>
      </c>
      <c r="F70" s="2">
        <v>117.81</v>
      </c>
      <c r="G70" t="s">
        <v>130</v>
      </c>
      <c r="H70">
        <f ca="1">IF(117.81&lt;&gt;117.81,0,0)</f>
        <v>0</v>
      </c>
      <c r="I70" t="s">
        <v>14</v>
      </c>
      <c r="J70" t="s">
        <v>14</v>
      </c>
    </row>
    <row r="71" spans="1:10">
      <c r="A71" t="s">
        <v>132</v>
      </c>
      <c r="B71" t="s">
        <v>128</v>
      </c>
      <c r="C71" t="s">
        <v>71</v>
      </c>
      <c r="D71" s="1">
        <v>19.66</v>
      </c>
      <c r="E71" s="2">
        <v>5.95</v>
      </c>
      <c r="F71" s="2">
        <v>116.98</v>
      </c>
      <c r="G71" t="s">
        <v>130</v>
      </c>
      <c r="H71">
        <f ca="1">IF(116.98&lt;&gt;116.98,0,0)</f>
        <v>0</v>
      </c>
      <c r="I71" t="s">
        <v>14</v>
      </c>
      <c r="J71" t="s">
        <v>14</v>
      </c>
    </row>
    <row r="72" spans="1:10">
      <c r="A72" t="s">
        <v>133</v>
      </c>
      <c r="B72" t="s">
        <v>128</v>
      </c>
      <c r="C72" t="s">
        <v>75</v>
      </c>
      <c r="D72" s="1">
        <v>19.66</v>
      </c>
      <c r="E72" s="2">
        <v>5.95</v>
      </c>
      <c r="F72" s="2">
        <v>116.98</v>
      </c>
      <c r="G72" t="s">
        <v>130</v>
      </c>
      <c r="H72">
        <f ca="1">IF(116.98&lt;&gt;116.98,0,0)</f>
        <v>0</v>
      </c>
      <c r="I72" t="s">
        <v>14</v>
      </c>
      <c r="J72" t="s">
        <v>14</v>
      </c>
    </row>
    <row r="73" spans="1:10">
      <c r="A73" t="s">
        <v>134</v>
      </c>
      <c r="B73" t="s">
        <v>128</v>
      </c>
      <c r="C73" t="s">
        <v>135</v>
      </c>
      <c r="D73" s="1">
        <v>20.08</v>
      </c>
      <c r="E73" s="2">
        <v>5.7</v>
      </c>
      <c r="F73" s="2">
        <v>114.46</v>
      </c>
      <c r="G73" t="s">
        <v>130</v>
      </c>
      <c r="H73">
        <f ca="1">IF(114.46&lt;&gt;114.46,0,0)</f>
        <v>0</v>
      </c>
      <c r="I73" t="s">
        <v>14</v>
      </c>
      <c r="J73" t="s">
        <v>14</v>
      </c>
    </row>
    <row r="74" spans="1:10">
      <c r="A74" t="s">
        <v>136</v>
      </c>
      <c r="B74" t="s">
        <v>128</v>
      </c>
      <c r="C74" t="s">
        <v>84</v>
      </c>
      <c r="D74" s="1">
        <v>20.02</v>
      </c>
      <c r="E74" s="2">
        <v>6.4</v>
      </c>
      <c r="F74" s="2">
        <v>128.13</v>
      </c>
      <c r="G74" t="s">
        <v>130</v>
      </c>
      <c r="H74">
        <f ca="1">IF(128.13&lt;&gt;128.13,0,0)</f>
        <v>0</v>
      </c>
      <c r="I74" t="s">
        <v>14</v>
      </c>
      <c r="J74" t="s">
        <v>14</v>
      </c>
    </row>
    <row r="75" spans="1:10">
      <c r="A75" t="s">
        <v>137</v>
      </c>
      <c r="B75" t="s">
        <v>128</v>
      </c>
      <c r="C75" t="s">
        <v>106</v>
      </c>
      <c r="D75" s="1">
        <v>20.01</v>
      </c>
      <c r="E75" s="2">
        <v>4.55</v>
      </c>
      <c r="F75" s="2">
        <v>91.05</v>
      </c>
      <c r="G75" t="s">
        <v>130</v>
      </c>
      <c r="H75">
        <f ca="1">IF(91.05&lt;&gt;91.05,0,0)</f>
        <v>0</v>
      </c>
      <c r="I75" t="s">
        <v>14</v>
      </c>
      <c r="J75" t="s">
        <v>14</v>
      </c>
    </row>
    <row r="76" spans="1:10">
      <c r="A76" t="s">
        <v>138</v>
      </c>
      <c r="B76" t="s">
        <v>128</v>
      </c>
      <c r="C76" t="s">
        <v>139</v>
      </c>
      <c r="D76" s="1">
        <v>20.03</v>
      </c>
      <c r="E76" s="2">
        <v>3.7</v>
      </c>
      <c r="F76" s="2">
        <v>74.11</v>
      </c>
      <c r="G76" t="s">
        <v>130</v>
      </c>
      <c r="H76">
        <f ca="1">IF(74.11&lt;&gt;74.11,0,0)</f>
        <v>0</v>
      </c>
      <c r="I76" t="s">
        <v>14</v>
      </c>
      <c r="J76" t="s">
        <v>14</v>
      </c>
    </row>
    <row r="77" spans="1:10">
      <c r="A77" t="s">
        <v>140</v>
      </c>
      <c r="B77" t="s">
        <v>128</v>
      </c>
      <c r="C77" t="s">
        <v>77</v>
      </c>
      <c r="D77" s="1">
        <v>20.05</v>
      </c>
      <c r="E77" s="2">
        <v>3.7</v>
      </c>
      <c r="F77" s="2">
        <v>74.19</v>
      </c>
      <c r="G77" t="s">
        <v>130</v>
      </c>
      <c r="H77">
        <f ca="1">IF(74.19&lt;&gt;74.18,0.009999999999990905,0)</f>
        <v>0</v>
      </c>
      <c r="I77" t="s">
        <v>14</v>
      </c>
      <c r="J77" t="s">
        <v>14</v>
      </c>
    </row>
    <row r="78" spans="1:10">
      <c r="A78" t="s">
        <v>141</v>
      </c>
      <c r="B78" t="s">
        <v>128</v>
      </c>
      <c r="C78" t="s">
        <v>142</v>
      </c>
      <c r="D78" s="1">
        <v>20.06</v>
      </c>
      <c r="E78" s="2">
        <v>5.2</v>
      </c>
      <c r="F78" s="2">
        <v>104.31</v>
      </c>
      <c r="G78" t="s">
        <v>130</v>
      </c>
      <c r="H78">
        <f ca="1">IF(104.31&lt;&gt;104.31,0,0)</f>
        <v>0</v>
      </c>
      <c r="I78" t="s">
        <v>14</v>
      </c>
      <c r="J78" t="s">
        <v>14</v>
      </c>
    </row>
    <row r="79" spans="1:10">
      <c r="A79" t="s">
        <v>143</v>
      </c>
      <c r="B79" t="s">
        <v>128</v>
      </c>
      <c r="C79" t="s">
        <v>144</v>
      </c>
      <c r="D79" s="1">
        <v>20.04</v>
      </c>
      <c r="E79" s="2">
        <v>6.4</v>
      </c>
      <c r="F79" s="2">
        <v>128.26</v>
      </c>
      <c r="G79" t="s">
        <v>130</v>
      </c>
      <c r="H79">
        <f ca="1">IF(128.26&lt;&gt;128.26,0,0)</f>
        <v>0</v>
      </c>
      <c r="I79" t="s">
        <v>14</v>
      </c>
      <c r="J79" t="s">
        <v>14</v>
      </c>
    </row>
    <row r="80" spans="1:10">
      <c r="A80" t="s">
        <v>145</v>
      </c>
      <c r="B80" t="s">
        <v>128</v>
      </c>
      <c r="C80" t="s">
        <v>110</v>
      </c>
      <c r="D80" s="1">
        <v>20.12</v>
      </c>
      <c r="E80" s="2">
        <v>6.2</v>
      </c>
      <c r="F80" s="2">
        <v>124.74</v>
      </c>
      <c r="G80" t="s">
        <v>130</v>
      </c>
      <c r="H80">
        <f ca="1">IF(124.74&lt;&gt;124.74,0,0)</f>
        <v>0</v>
      </c>
      <c r="I80" t="s">
        <v>14</v>
      </c>
      <c r="J80" t="s">
        <v>14</v>
      </c>
    </row>
    <row r="81" spans="1:10">
      <c r="A81" t="s">
        <v>146</v>
      </c>
      <c r="B81" t="s">
        <v>128</v>
      </c>
      <c r="C81" t="s">
        <v>77</v>
      </c>
      <c r="D81" s="1">
        <v>20.2</v>
      </c>
      <c r="E81" s="2">
        <v>3.7</v>
      </c>
      <c r="F81" s="2">
        <v>74.74</v>
      </c>
      <c r="G81" t="s">
        <v>130</v>
      </c>
      <c r="H81">
        <f ca="1">IF(74.74&lt;&gt;74.74,0,0)</f>
        <v>0</v>
      </c>
      <c r="I81" t="s">
        <v>14</v>
      </c>
      <c r="J81" t="s">
        <v>14</v>
      </c>
    </row>
    <row r="82" spans="1:10">
      <c r="A82" t="s">
        <v>147</v>
      </c>
      <c r="B82" t="s">
        <v>128</v>
      </c>
      <c r="C82" t="s">
        <v>77</v>
      </c>
      <c r="D82" s="1">
        <v>20.03</v>
      </c>
      <c r="E82" s="2">
        <v>3.7</v>
      </c>
      <c r="F82" s="2">
        <v>74.11</v>
      </c>
      <c r="G82" t="s">
        <v>130</v>
      </c>
      <c r="H82">
        <f ca="1">IF(74.11&lt;&gt;74.11,0,0)</f>
        <v>0</v>
      </c>
      <c r="I82" t="s">
        <v>14</v>
      </c>
      <c r="J82" t="s">
        <v>14</v>
      </c>
    </row>
    <row r="83" spans="1:10">
      <c r="A83" t="s">
        <v>148</v>
      </c>
      <c r="B83" t="s">
        <v>128</v>
      </c>
      <c r="C83" t="s">
        <v>90</v>
      </c>
      <c r="D83" s="1">
        <v>20.14</v>
      </c>
      <c r="E83" s="2">
        <v>3.7</v>
      </c>
      <c r="F83" s="2">
        <v>74.52</v>
      </c>
      <c r="G83" t="s">
        <v>130</v>
      </c>
      <c r="H83">
        <f ca="1">IF(74.52&lt;&gt;74.52,0,0)</f>
        <v>0</v>
      </c>
      <c r="I83" t="s">
        <v>14</v>
      </c>
      <c r="J83" t="s">
        <v>14</v>
      </c>
    </row>
    <row r="84" spans="1:10">
      <c r="A84" t="s">
        <v>149</v>
      </c>
      <c r="B84" t="s">
        <v>128</v>
      </c>
      <c r="C84" t="s">
        <v>110</v>
      </c>
      <c r="D84" s="1">
        <v>20.1</v>
      </c>
      <c r="E84" s="2">
        <v>6.2</v>
      </c>
      <c r="F84" s="2">
        <v>124.62</v>
      </c>
      <c r="G84" t="s">
        <v>130</v>
      </c>
      <c r="H84">
        <f ca="1">IF(124.62&lt;&gt;124.62,0,0)</f>
        <v>0</v>
      </c>
      <c r="I84" t="s">
        <v>14</v>
      </c>
      <c r="J84" t="s">
        <v>14</v>
      </c>
    </row>
    <row r="85" spans="1:10">
      <c r="A85" t="s">
        <v>150</v>
      </c>
      <c r="B85" t="s">
        <v>128</v>
      </c>
      <c r="C85" t="s">
        <v>108</v>
      </c>
      <c r="D85" s="1">
        <v>20.14</v>
      </c>
      <c r="E85" s="2">
        <v>5.7</v>
      </c>
      <c r="F85" s="2">
        <v>114.8</v>
      </c>
      <c r="G85" t="s">
        <v>130</v>
      </c>
      <c r="H85">
        <f ca="1">IF(114.8&lt;&gt;114.8,0,0)</f>
        <v>0</v>
      </c>
      <c r="I85" t="s">
        <v>14</v>
      </c>
      <c r="J85" t="s">
        <v>14</v>
      </c>
    </row>
    <row r="86" spans="1:10">
      <c r="A86" t="s">
        <v>151</v>
      </c>
      <c r="B86" t="s">
        <v>128</v>
      </c>
      <c r="C86" t="s">
        <v>152</v>
      </c>
      <c r="D86" s="1">
        <v>20.02</v>
      </c>
      <c r="E86" s="2">
        <v>5.95</v>
      </c>
      <c r="F86" s="2">
        <v>119.12</v>
      </c>
      <c r="G86" t="s">
        <v>130</v>
      </c>
      <c r="H86">
        <f ca="1">IF(119.12&lt;&gt;119.12,0,0)</f>
        <v>0</v>
      </c>
      <c r="I86" t="s">
        <v>14</v>
      </c>
      <c r="J86" t="s">
        <v>14</v>
      </c>
    </row>
    <row r="87" spans="1:10">
      <c r="A87" t="s">
        <v>153</v>
      </c>
      <c r="B87" t="s">
        <v>128</v>
      </c>
      <c r="C87" t="s">
        <v>154</v>
      </c>
      <c r="D87" s="1">
        <v>20.01</v>
      </c>
      <c r="E87" s="2">
        <v>4.4</v>
      </c>
      <c r="F87" s="2">
        <v>88.04</v>
      </c>
      <c r="G87" t="s">
        <v>130</v>
      </c>
      <c r="H87">
        <f ca="1">IF(88.04&lt;&gt;88.04,0,0)</f>
        <v>0</v>
      </c>
      <c r="I87" t="s">
        <v>14</v>
      </c>
      <c r="J87" t="s">
        <v>14</v>
      </c>
    </row>
    <row r="88" spans="1:10">
      <c r="A88" t="s">
        <v>155</v>
      </c>
      <c r="B88" t="s">
        <v>128</v>
      </c>
      <c r="C88" t="s">
        <v>144</v>
      </c>
      <c r="D88" s="1">
        <v>20.2</v>
      </c>
      <c r="E88" s="2">
        <v>6.4</v>
      </c>
      <c r="F88" s="2">
        <v>129.28</v>
      </c>
      <c r="G88" t="s">
        <v>130</v>
      </c>
      <c r="H88">
        <f ca="1">IF(129.28&lt;&gt;129.28,0,0)</f>
        <v>0</v>
      </c>
      <c r="I88" t="s">
        <v>14</v>
      </c>
      <c r="J88" t="s">
        <v>14</v>
      </c>
    </row>
    <row r="89" spans="1:10">
      <c r="A89" t="s">
        <v>156</v>
      </c>
      <c r="B89" t="s">
        <v>128</v>
      </c>
      <c r="C89" t="s">
        <v>110</v>
      </c>
      <c r="D89" s="1">
        <v>20.03</v>
      </c>
      <c r="E89" s="2">
        <v>6.2</v>
      </c>
      <c r="F89" s="2">
        <v>124.19</v>
      </c>
      <c r="G89" t="s">
        <v>130</v>
      </c>
      <c r="H89">
        <f ca="1">IF(124.19&lt;&gt;124.19,0,0)</f>
        <v>0</v>
      </c>
      <c r="I89" t="s">
        <v>14</v>
      </c>
      <c r="J89" t="s">
        <v>14</v>
      </c>
    </row>
    <row r="90" spans="1:10">
      <c r="A90" t="s">
        <v>157</v>
      </c>
      <c r="B90" t="s">
        <v>128</v>
      </c>
      <c r="C90" t="s">
        <v>108</v>
      </c>
      <c r="D90" s="1">
        <v>20.08</v>
      </c>
      <c r="E90" s="2">
        <v>5.7</v>
      </c>
      <c r="F90" s="2">
        <v>114.46</v>
      </c>
      <c r="G90" t="s">
        <v>130</v>
      </c>
      <c r="H90">
        <f ca="1">IF(114.46&lt;&gt;114.46,0,0)</f>
        <v>0</v>
      </c>
      <c r="I90" t="s">
        <v>14</v>
      </c>
      <c r="J90" t="s">
        <v>14</v>
      </c>
    </row>
    <row r="91" spans="1:10">
      <c r="A91" t="s">
        <v>158</v>
      </c>
      <c r="B91" t="s">
        <v>128</v>
      </c>
      <c r="C91" t="s">
        <v>159</v>
      </c>
      <c r="D91" s="1">
        <v>20.13</v>
      </c>
      <c r="E91" s="2">
        <v>5.45</v>
      </c>
      <c r="F91" s="2">
        <v>109.71</v>
      </c>
      <c r="G91" t="s">
        <v>130</v>
      </c>
      <c r="H91">
        <f ca="1">IF(109.71&lt;&gt;109.71,0,0)</f>
        <v>0</v>
      </c>
      <c r="I91" t="s">
        <v>14</v>
      </c>
      <c r="J91" t="s">
        <v>14</v>
      </c>
    </row>
    <row r="92" spans="1:10">
      <c r="A92" t="s">
        <v>160</v>
      </c>
      <c r="B92" t="s">
        <v>128</v>
      </c>
      <c r="C92" t="s">
        <v>161</v>
      </c>
      <c r="D92" s="1">
        <v>20.18</v>
      </c>
      <c r="E92" s="2">
        <v>4.95</v>
      </c>
      <c r="F92" s="2">
        <v>99.89</v>
      </c>
      <c r="G92" t="s">
        <v>130</v>
      </c>
      <c r="H92">
        <f ca="1">IF(99.89&lt;&gt;99.89,0,0)</f>
        <v>0</v>
      </c>
      <c r="I92" t="s">
        <v>14</v>
      </c>
      <c r="J92" t="s">
        <v>14</v>
      </c>
    </row>
    <row r="93" spans="1:10">
      <c r="A93" t="s">
        <v>162</v>
      </c>
      <c r="B93" t="s">
        <v>128</v>
      </c>
      <c r="C93" t="s">
        <v>163</v>
      </c>
      <c r="D93" s="1">
        <v>20.01</v>
      </c>
      <c r="E93" s="2">
        <v>4.55</v>
      </c>
      <c r="F93" s="2">
        <v>91.05</v>
      </c>
      <c r="G93" t="s">
        <v>130</v>
      </c>
      <c r="H93">
        <f ca="1">IF(91.05&lt;&gt;91.05,0,0)</f>
        <v>0</v>
      </c>
      <c r="I93" t="s">
        <v>14</v>
      </c>
      <c r="J93" t="s">
        <v>14</v>
      </c>
    </row>
    <row r="94" spans="1:10">
      <c r="A94" t="s">
        <v>164</v>
      </c>
      <c r="B94" t="s">
        <v>128</v>
      </c>
      <c r="C94" t="s">
        <v>165</v>
      </c>
      <c r="D94" s="1">
        <v>20.11</v>
      </c>
      <c r="E94" s="2">
        <v>4.55</v>
      </c>
      <c r="F94" s="2">
        <v>91.5</v>
      </c>
      <c r="G94" t="s">
        <v>130</v>
      </c>
      <c r="H94">
        <f ca="1">IF(91.5&lt;&gt;91.5,0,0)</f>
        <v>0</v>
      </c>
      <c r="I94" t="s">
        <v>14</v>
      </c>
      <c r="J94" t="s">
        <v>14</v>
      </c>
    </row>
    <row r="95" spans="1:10">
      <c r="A95" t="s">
        <v>166</v>
      </c>
      <c r="B95" t="s">
        <v>128</v>
      </c>
      <c r="C95" t="s">
        <v>118</v>
      </c>
      <c r="D95" s="1">
        <v>20.03</v>
      </c>
      <c r="E95" s="2">
        <v>5.15</v>
      </c>
      <c r="F95" s="2">
        <v>103.15</v>
      </c>
      <c r="G95" t="s">
        <v>130</v>
      </c>
      <c r="H95">
        <f ca="1">IF(103.15&lt;&gt;103.15,0,0)</f>
        <v>0</v>
      </c>
      <c r="I95" t="s">
        <v>14</v>
      </c>
      <c r="J95" t="s">
        <v>14</v>
      </c>
    </row>
    <row r="96" spans="1:10">
      <c r="A96" t="s">
        <v>167</v>
      </c>
      <c r="B96" t="s">
        <v>128</v>
      </c>
      <c r="C96" t="s">
        <v>168</v>
      </c>
      <c r="D96" s="1">
        <v>20.08</v>
      </c>
      <c r="E96" s="2">
        <v>5.95</v>
      </c>
      <c r="F96" s="2">
        <v>119.48</v>
      </c>
      <c r="G96" t="s">
        <v>130</v>
      </c>
      <c r="H96">
        <f ca="1">IF(119.48&lt;&gt;119.48,0,0)</f>
        <v>0</v>
      </c>
      <c r="I96" t="s">
        <v>14</v>
      </c>
      <c r="J96" t="s">
        <v>14</v>
      </c>
    </row>
    <row r="97" spans="1:10">
      <c r="A97" t="s">
        <v>169</v>
      </c>
      <c r="B97" t="s">
        <v>128</v>
      </c>
      <c r="C97" t="s">
        <v>170</v>
      </c>
      <c r="D97" s="1">
        <v>20.08</v>
      </c>
      <c r="E97" s="2">
        <v>5.95</v>
      </c>
      <c r="F97" s="2">
        <v>119.48</v>
      </c>
      <c r="G97" t="s">
        <v>130</v>
      </c>
      <c r="H97">
        <f ca="1">IF(119.48&lt;&gt;119.48,0,0)</f>
        <v>0</v>
      </c>
      <c r="I97" t="s">
        <v>14</v>
      </c>
      <c r="J97" t="s">
        <v>14</v>
      </c>
    </row>
    <row r="98" spans="1:10">
      <c r="A98" t="s">
        <v>171</v>
      </c>
      <c r="B98" t="s">
        <v>128</v>
      </c>
      <c r="C98" t="s">
        <v>172</v>
      </c>
      <c r="D98" s="1">
        <v>20.11</v>
      </c>
      <c r="E98" s="2">
        <v>3.7</v>
      </c>
      <c r="F98" s="2">
        <v>74.41</v>
      </c>
      <c r="G98" t="s">
        <v>130</v>
      </c>
      <c r="H98">
        <f ca="1">IF(74.41&lt;&gt;74.41,0,0)</f>
        <v>0</v>
      </c>
      <c r="I98" t="s">
        <v>14</v>
      </c>
      <c r="J98" t="s">
        <v>14</v>
      </c>
    </row>
    <row r="99" spans="1:10">
      <c r="A99" t="s">
        <v>173</v>
      </c>
      <c r="B99" t="s">
        <v>174</v>
      </c>
      <c r="C99" t="s">
        <v>71</v>
      </c>
      <c r="D99" s="1">
        <v>18.35</v>
      </c>
      <c r="E99" s="2">
        <v>5.95</v>
      </c>
      <c r="F99" s="2">
        <v>109.18</v>
      </c>
      <c r="G99" t="s">
        <v>175</v>
      </c>
      <c r="H99">
        <f ca="1">IF(109.18&lt;&gt;109.18,0,0)</f>
        <v>0</v>
      </c>
      <c r="I99" t="s">
        <v>14</v>
      </c>
      <c r="J99" t="s">
        <v>14</v>
      </c>
    </row>
    <row r="100" spans="1:10">
      <c r="A100" t="s">
        <v>176</v>
      </c>
      <c r="B100" t="s">
        <v>174</v>
      </c>
      <c r="C100" t="s">
        <v>71</v>
      </c>
      <c r="D100" s="1">
        <v>18.36</v>
      </c>
      <c r="E100" s="2">
        <v>5.95</v>
      </c>
      <c r="F100" s="2">
        <v>109.24</v>
      </c>
      <c r="G100" t="s">
        <v>175</v>
      </c>
      <c r="H100">
        <f ca="1">IF(109.24&lt;&gt;109.24,0,0)</f>
        <v>0</v>
      </c>
      <c r="I100" t="s">
        <v>14</v>
      </c>
      <c r="J100" t="s">
        <v>14</v>
      </c>
    </row>
    <row r="101" spans="1:10">
      <c r="A101" t="s">
        <v>177</v>
      </c>
      <c r="B101" t="s">
        <v>174</v>
      </c>
      <c r="C101" t="s">
        <v>178</v>
      </c>
      <c r="D101" s="1">
        <v>18.49</v>
      </c>
      <c r="E101" s="2">
        <v>7.45</v>
      </c>
      <c r="F101" s="2">
        <v>137.75</v>
      </c>
      <c r="G101" t="s">
        <v>175</v>
      </c>
      <c r="H101">
        <f ca="1">IF(137.75&lt;&gt;137.75,0,0)</f>
        <v>0</v>
      </c>
      <c r="I101" t="s">
        <v>14</v>
      </c>
      <c r="J101" t="s">
        <v>14</v>
      </c>
    </row>
    <row r="102" spans="1:10">
      <c r="A102" t="s">
        <v>179</v>
      </c>
      <c r="B102" t="s">
        <v>174</v>
      </c>
      <c r="C102" t="s">
        <v>77</v>
      </c>
      <c r="D102" s="1">
        <v>18.66</v>
      </c>
      <c r="E102" s="2">
        <v>3.7</v>
      </c>
      <c r="F102" s="2">
        <v>69.04</v>
      </c>
      <c r="G102" t="s">
        <v>175</v>
      </c>
      <c r="H102">
        <f ca="1">IF(69.04&lt;&gt;69.04,0,0)</f>
        <v>0</v>
      </c>
      <c r="I102" t="s">
        <v>14</v>
      </c>
      <c r="J102" t="s">
        <v>14</v>
      </c>
    </row>
    <row r="103" spans="1:10">
      <c r="A103" t="s">
        <v>180</v>
      </c>
      <c r="B103" t="s">
        <v>174</v>
      </c>
      <c r="C103" t="s">
        <v>77</v>
      </c>
      <c r="D103" s="1">
        <v>18.69</v>
      </c>
      <c r="E103" s="2">
        <v>3.7</v>
      </c>
      <c r="F103" s="2">
        <v>69.15</v>
      </c>
      <c r="G103" t="s">
        <v>175</v>
      </c>
      <c r="H103">
        <f ca="1">IF(69.15&lt;&gt;69.15,0,0)</f>
        <v>0</v>
      </c>
      <c r="I103" t="s">
        <v>14</v>
      </c>
      <c r="J103" t="s">
        <v>14</v>
      </c>
    </row>
    <row r="104" spans="1:10">
      <c r="A104" t="s">
        <v>181</v>
      </c>
      <c r="B104" t="s">
        <v>174</v>
      </c>
      <c r="C104" t="s">
        <v>142</v>
      </c>
      <c r="D104" s="1">
        <v>18.68</v>
      </c>
      <c r="E104" s="2">
        <v>5.2</v>
      </c>
      <c r="F104" s="2">
        <v>97.14</v>
      </c>
      <c r="G104" t="s">
        <v>175</v>
      </c>
      <c r="H104">
        <f ca="1">IF(97.14&lt;&gt;97.14,0,0)</f>
        <v>0</v>
      </c>
      <c r="I104" t="s">
        <v>14</v>
      </c>
      <c r="J104" t="s">
        <v>14</v>
      </c>
    </row>
    <row r="105" spans="1:10">
      <c r="A105" t="s">
        <v>182</v>
      </c>
      <c r="B105" t="s">
        <v>174</v>
      </c>
      <c r="C105" t="s">
        <v>183</v>
      </c>
      <c r="D105" s="1">
        <v>18.68</v>
      </c>
      <c r="E105" s="2">
        <v>4.2</v>
      </c>
      <c r="F105" s="2">
        <v>78.46</v>
      </c>
      <c r="G105" t="s">
        <v>175</v>
      </c>
      <c r="H105">
        <f ca="1">IF(78.46&lt;&gt;78.46,0,0)</f>
        <v>0</v>
      </c>
      <c r="I105" t="s">
        <v>14</v>
      </c>
      <c r="J105" t="s">
        <v>14</v>
      </c>
    </row>
    <row r="106" spans="1:10">
      <c r="A106" t="s">
        <v>184</v>
      </c>
      <c r="B106" t="s">
        <v>174</v>
      </c>
      <c r="C106" t="s">
        <v>185</v>
      </c>
      <c r="D106" s="1">
        <v>18.59</v>
      </c>
      <c r="E106" s="2">
        <v>4.95</v>
      </c>
      <c r="F106" s="2">
        <v>92.02</v>
      </c>
      <c r="G106" t="s">
        <v>175</v>
      </c>
      <c r="H106">
        <f ca="1">IF(92.02&lt;&gt;92.02,0,0)</f>
        <v>0</v>
      </c>
      <c r="I106" t="s">
        <v>14</v>
      </c>
      <c r="J106" t="s">
        <v>14</v>
      </c>
    </row>
    <row r="107" spans="1:10">
      <c r="A107" t="s">
        <v>186</v>
      </c>
      <c r="B107" t="s">
        <v>174</v>
      </c>
      <c r="C107" t="s">
        <v>144</v>
      </c>
      <c r="D107" s="1">
        <v>18.66</v>
      </c>
      <c r="E107" s="2">
        <v>6.4</v>
      </c>
      <c r="F107" s="2">
        <v>119.42</v>
      </c>
      <c r="G107" t="s">
        <v>175</v>
      </c>
      <c r="H107">
        <f ca="1">IF(119.42&lt;&gt;119.42,0,0)</f>
        <v>0</v>
      </c>
      <c r="I107" t="s">
        <v>14</v>
      </c>
      <c r="J107" t="s">
        <v>14</v>
      </c>
    </row>
    <row r="108" spans="1:10">
      <c r="A108" t="s">
        <v>187</v>
      </c>
      <c r="B108" t="s">
        <v>174</v>
      </c>
      <c r="C108" t="s">
        <v>88</v>
      </c>
      <c r="D108" s="1">
        <v>18.72</v>
      </c>
      <c r="E108" s="2">
        <v>5.7</v>
      </c>
      <c r="F108" s="2">
        <v>106.7</v>
      </c>
      <c r="G108" t="s">
        <v>175</v>
      </c>
      <c r="H108">
        <f ca="1">IF(106.7&lt;&gt;106.7,0,0)</f>
        <v>0</v>
      </c>
      <c r="I108" t="s">
        <v>14</v>
      </c>
      <c r="J108" t="s">
        <v>14</v>
      </c>
    </row>
    <row r="109" spans="1:10">
      <c r="A109" t="s">
        <v>188</v>
      </c>
      <c r="B109" t="s">
        <v>174</v>
      </c>
      <c r="C109" t="s">
        <v>90</v>
      </c>
      <c r="D109" s="1">
        <v>18.73</v>
      </c>
      <c r="E109" s="2">
        <v>3.7</v>
      </c>
      <c r="F109" s="2">
        <v>69.3</v>
      </c>
      <c r="G109" t="s">
        <v>175</v>
      </c>
      <c r="H109">
        <f ca="1">IF(69.3&lt;&gt;69.3,0,0)</f>
        <v>0</v>
      </c>
      <c r="I109" t="s">
        <v>14</v>
      </c>
      <c r="J109" t="s">
        <v>14</v>
      </c>
    </row>
    <row r="110" spans="1:10">
      <c r="A110" t="s">
        <v>189</v>
      </c>
      <c r="B110" t="s">
        <v>174</v>
      </c>
      <c r="C110" t="s">
        <v>106</v>
      </c>
      <c r="D110" s="1">
        <v>18.74</v>
      </c>
      <c r="E110" s="2">
        <v>4.55</v>
      </c>
      <c r="F110" s="2">
        <v>85.27</v>
      </c>
      <c r="G110" t="s">
        <v>175</v>
      </c>
      <c r="H110">
        <f ca="1">IF(85.27&lt;&gt;85.27,0,0)</f>
        <v>0</v>
      </c>
      <c r="I110" t="s">
        <v>14</v>
      </c>
      <c r="J110" t="s">
        <v>14</v>
      </c>
    </row>
    <row r="111" spans="1:10">
      <c r="A111" t="s">
        <v>190</v>
      </c>
      <c r="B111" t="s">
        <v>174</v>
      </c>
      <c r="C111" t="s">
        <v>90</v>
      </c>
      <c r="D111" s="1">
        <v>18.69</v>
      </c>
      <c r="E111" s="2">
        <v>3.7</v>
      </c>
      <c r="F111" s="2">
        <v>69.15</v>
      </c>
      <c r="G111" t="s">
        <v>175</v>
      </c>
      <c r="H111">
        <f ca="1">IF(69.15&lt;&gt;69.15,0,0)</f>
        <v>0</v>
      </c>
      <c r="I111" t="s">
        <v>14</v>
      </c>
      <c r="J111" t="s">
        <v>14</v>
      </c>
    </row>
    <row r="112" spans="1:10">
      <c r="A112" t="s">
        <v>191</v>
      </c>
      <c r="B112" t="s">
        <v>174</v>
      </c>
      <c r="C112" t="s">
        <v>110</v>
      </c>
      <c r="D112" s="1">
        <v>18.7</v>
      </c>
      <c r="E112" s="2">
        <v>6.2</v>
      </c>
      <c r="F112" s="2">
        <v>115.94</v>
      </c>
      <c r="G112" t="s">
        <v>175</v>
      </c>
      <c r="H112">
        <f ca="1">IF(115.94&lt;&gt;115.94,0,0)</f>
        <v>0</v>
      </c>
      <c r="I112" t="s">
        <v>14</v>
      </c>
      <c r="J112" t="s">
        <v>14</v>
      </c>
    </row>
    <row r="113" spans="1:10">
      <c r="A113" t="s">
        <v>192</v>
      </c>
      <c r="B113" t="s">
        <v>174</v>
      </c>
      <c r="C113" t="s">
        <v>108</v>
      </c>
      <c r="D113" s="1">
        <v>18.64</v>
      </c>
      <c r="E113" s="2">
        <v>5.7</v>
      </c>
      <c r="F113" s="2">
        <v>106.25</v>
      </c>
      <c r="G113" t="s">
        <v>175</v>
      </c>
      <c r="H113">
        <f ca="1">IF(106.25&lt;&gt;106.25,0,0)</f>
        <v>0</v>
      </c>
      <c r="I113" t="s">
        <v>14</v>
      </c>
      <c r="J113" t="s">
        <v>14</v>
      </c>
    </row>
    <row r="114" spans="1:10">
      <c r="A114" t="s">
        <v>193</v>
      </c>
      <c r="B114" t="s">
        <v>174</v>
      </c>
      <c r="C114" t="s">
        <v>144</v>
      </c>
      <c r="D114" s="1">
        <v>18.72</v>
      </c>
      <c r="E114" s="2">
        <v>6.4</v>
      </c>
      <c r="F114" s="2">
        <v>119.81</v>
      </c>
      <c r="G114" t="s">
        <v>175</v>
      </c>
      <c r="H114">
        <f ca="1">IF(119.81&lt;&gt;119.81,0,0)</f>
        <v>0</v>
      </c>
      <c r="I114" t="s">
        <v>14</v>
      </c>
      <c r="J114" t="s">
        <v>14</v>
      </c>
    </row>
    <row r="115" spans="1:10">
      <c r="A115" t="s">
        <v>194</v>
      </c>
      <c r="B115" t="s">
        <v>174</v>
      </c>
      <c r="C115" t="s">
        <v>108</v>
      </c>
      <c r="D115" s="1">
        <v>18.62</v>
      </c>
      <c r="E115" s="2">
        <v>5.7</v>
      </c>
      <c r="F115" s="2">
        <v>106.13</v>
      </c>
      <c r="G115" t="s">
        <v>175</v>
      </c>
      <c r="H115">
        <f ca="1">IF(106.13&lt;&gt;106.13,0,0)</f>
        <v>0</v>
      </c>
      <c r="I115" t="s">
        <v>14</v>
      </c>
      <c r="J115" t="s">
        <v>14</v>
      </c>
    </row>
    <row r="116" spans="1:10">
      <c r="A116" t="s">
        <v>195</v>
      </c>
      <c r="B116" t="s">
        <v>174</v>
      </c>
      <c r="C116" t="s">
        <v>196</v>
      </c>
      <c r="D116" s="1">
        <v>18.66</v>
      </c>
      <c r="E116" s="2">
        <v>4.95</v>
      </c>
      <c r="F116" s="2">
        <v>92.37</v>
      </c>
      <c r="G116" t="s">
        <v>175</v>
      </c>
      <c r="H116">
        <f ca="1">IF(92.37&lt;&gt;92.37,0,0)</f>
        <v>0</v>
      </c>
      <c r="I116" t="s">
        <v>14</v>
      </c>
      <c r="J116" t="s">
        <v>14</v>
      </c>
    </row>
    <row r="117" spans="1:10">
      <c r="A117" t="s">
        <v>197</v>
      </c>
      <c r="B117" t="s">
        <v>174</v>
      </c>
      <c r="C117" t="s">
        <v>77</v>
      </c>
      <c r="D117" s="1">
        <v>18.73</v>
      </c>
      <c r="E117" s="2">
        <v>3.7</v>
      </c>
      <c r="F117" s="2">
        <v>69.3</v>
      </c>
      <c r="G117" t="s">
        <v>175</v>
      </c>
      <c r="H117">
        <f ca="1">IF(69.3&lt;&gt;69.3,0,0)</f>
        <v>0</v>
      </c>
      <c r="I117" t="s">
        <v>14</v>
      </c>
      <c r="J117" t="s">
        <v>14</v>
      </c>
    </row>
    <row r="118" spans="1:10">
      <c r="A118" t="s">
        <v>198</v>
      </c>
      <c r="B118" t="s">
        <v>174</v>
      </c>
      <c r="C118" t="s">
        <v>108</v>
      </c>
      <c r="D118" s="1">
        <v>18.73</v>
      </c>
      <c r="E118" s="2">
        <v>5.7</v>
      </c>
      <c r="F118" s="2">
        <v>106.76</v>
      </c>
      <c r="G118" t="s">
        <v>175</v>
      </c>
      <c r="H118">
        <f ca="1">IF(106.76&lt;&gt;106.76,0,0)</f>
        <v>0</v>
      </c>
      <c r="I118" t="s">
        <v>14</v>
      </c>
      <c r="J118" t="s">
        <v>14</v>
      </c>
    </row>
    <row r="119" spans="1:10">
      <c r="A119" t="s">
        <v>199</v>
      </c>
      <c r="B119" t="s">
        <v>200</v>
      </c>
      <c r="C119" t="s">
        <v>88</v>
      </c>
      <c r="D119" s="1">
        <v>20.1</v>
      </c>
      <c r="E119" s="2">
        <v>5.7</v>
      </c>
      <c r="F119" s="2">
        <v>114.57</v>
      </c>
      <c r="G119" t="s">
        <v>175</v>
      </c>
      <c r="H119">
        <f ca="1">IF(114.57&lt;&gt;114.57,0,0)</f>
        <v>0</v>
      </c>
      <c r="I119" t="s">
        <v>14</v>
      </c>
      <c r="J119" t="s">
        <v>14</v>
      </c>
    </row>
    <row r="120" spans="1:10">
      <c r="A120" t="s">
        <v>201</v>
      </c>
      <c r="B120" t="s">
        <v>200</v>
      </c>
      <c r="C120" t="s">
        <v>90</v>
      </c>
      <c r="D120" s="1">
        <v>20.06</v>
      </c>
      <c r="E120" s="2">
        <v>3.7</v>
      </c>
      <c r="F120" s="2">
        <v>74.22</v>
      </c>
      <c r="G120" t="s">
        <v>175</v>
      </c>
      <c r="H120">
        <f ca="1">IF(74.22&lt;&gt;74.22,0,0)</f>
        <v>0</v>
      </c>
      <c r="I120" t="s">
        <v>14</v>
      </c>
      <c r="J120" t="s">
        <v>14</v>
      </c>
    </row>
    <row r="121" spans="1:10">
      <c r="A121" t="s">
        <v>202</v>
      </c>
      <c r="B121" t="s">
        <v>203</v>
      </c>
      <c r="C121" t="s">
        <v>204</v>
      </c>
      <c r="D121" s="1">
        <v>19.29</v>
      </c>
      <c r="E121" s="2">
        <v>4.4</v>
      </c>
      <c r="F121" s="2">
        <v>84.88</v>
      </c>
      <c r="G121" t="s">
        <v>205</v>
      </c>
      <c r="H121">
        <f ca="1">IF(84.88&lt;&gt;84.88,0,0)</f>
        <v>0</v>
      </c>
      <c r="I121" t="s">
        <v>14</v>
      </c>
      <c r="J121" t="s">
        <v>14</v>
      </c>
    </row>
    <row r="122" spans="1:10">
      <c r="A122" t="s">
        <v>206</v>
      </c>
      <c r="B122" t="s">
        <v>203</v>
      </c>
      <c r="C122" t="s">
        <v>207</v>
      </c>
      <c r="D122" s="1">
        <v>19.28</v>
      </c>
      <c r="E122" s="2">
        <v>4.4</v>
      </c>
      <c r="F122" s="2">
        <v>84.83</v>
      </c>
      <c r="G122" t="s">
        <v>205</v>
      </c>
      <c r="H122">
        <f ca="1">IF(84.83&lt;&gt;84.83,0,0)</f>
        <v>0</v>
      </c>
      <c r="I122" t="s">
        <v>14</v>
      </c>
      <c r="J122" t="s">
        <v>14</v>
      </c>
    </row>
    <row r="123" spans="1:10">
      <c r="A123" t="s">
        <v>208</v>
      </c>
      <c r="B123" t="s">
        <v>203</v>
      </c>
      <c r="C123" t="s">
        <v>209</v>
      </c>
      <c r="D123" s="1">
        <v>19.44</v>
      </c>
      <c r="E123" s="2">
        <v>4.55</v>
      </c>
      <c r="F123" s="2">
        <v>88.45</v>
      </c>
      <c r="G123" t="s">
        <v>205</v>
      </c>
      <c r="H123">
        <f ca="1">IF(88.45&lt;&gt;88.45,0,0)</f>
        <v>0</v>
      </c>
      <c r="I123" t="s">
        <v>14</v>
      </c>
      <c r="J123" t="s">
        <v>14</v>
      </c>
    </row>
    <row r="124" spans="1:10">
      <c r="A124" t="s">
        <v>210</v>
      </c>
      <c r="B124" t="s">
        <v>203</v>
      </c>
      <c r="C124" t="s">
        <v>211</v>
      </c>
      <c r="D124" s="1">
        <v>19.34</v>
      </c>
      <c r="E124" s="2">
        <v>4.95</v>
      </c>
      <c r="F124" s="2">
        <v>95.73</v>
      </c>
      <c r="G124" t="s">
        <v>205</v>
      </c>
      <c r="H124">
        <f ca="1">IF(95.73&lt;&gt;95.73,0,0)</f>
        <v>0</v>
      </c>
      <c r="I124" t="s">
        <v>14</v>
      </c>
      <c r="J124" t="s">
        <v>14</v>
      </c>
    </row>
    <row r="125" spans="1:10">
      <c r="A125" t="s">
        <v>212</v>
      </c>
      <c r="B125" t="s">
        <v>203</v>
      </c>
      <c r="C125" t="s">
        <v>213</v>
      </c>
      <c r="D125" s="1">
        <v>19.3</v>
      </c>
      <c r="E125" s="2">
        <v>5.45</v>
      </c>
      <c r="F125" s="2">
        <v>105.19</v>
      </c>
      <c r="G125" t="s">
        <v>205</v>
      </c>
      <c r="H125">
        <f ca="1">IF(105.19&lt;&gt;105.18,0.009999999999990905,0)</f>
        <v>0</v>
      </c>
      <c r="I125" t="s">
        <v>14</v>
      </c>
      <c r="J125" t="s">
        <v>14</v>
      </c>
    </row>
    <row r="126" spans="1:10">
      <c r="A126" t="s">
        <v>214</v>
      </c>
      <c r="B126" t="s">
        <v>203</v>
      </c>
      <c r="C126" t="s">
        <v>215</v>
      </c>
      <c r="D126" s="1">
        <v>19.29</v>
      </c>
      <c r="E126" s="2">
        <v>6.2</v>
      </c>
      <c r="F126" s="2">
        <v>119.6</v>
      </c>
      <c r="G126" t="s">
        <v>205</v>
      </c>
      <c r="H126">
        <f ca="1">IF(119.6&lt;&gt;119.6,0,0)</f>
        <v>0</v>
      </c>
      <c r="I126" t="s">
        <v>14</v>
      </c>
      <c r="J126" t="s">
        <v>14</v>
      </c>
    </row>
    <row r="127" spans="1:10">
      <c r="A127" t="s">
        <v>216</v>
      </c>
      <c r="B127" t="s">
        <v>203</v>
      </c>
      <c r="C127" t="s">
        <v>217</v>
      </c>
      <c r="D127" s="1">
        <v>19.39</v>
      </c>
      <c r="E127" s="2">
        <v>6.4</v>
      </c>
      <c r="F127" s="2">
        <v>124.1</v>
      </c>
      <c r="G127" t="s">
        <v>205</v>
      </c>
      <c r="H127">
        <f ca="1">IF(124.1&lt;&gt;124.1,0,0)</f>
        <v>0</v>
      </c>
      <c r="I127" t="s">
        <v>14</v>
      </c>
      <c r="J127" t="s">
        <v>14</v>
      </c>
    </row>
    <row r="128" spans="1:10">
      <c r="A128" t="s">
        <v>218</v>
      </c>
      <c r="B128" t="s">
        <v>203</v>
      </c>
      <c r="C128" t="s">
        <v>219</v>
      </c>
      <c r="D128" s="1">
        <v>19.31</v>
      </c>
      <c r="E128" s="2">
        <v>3.35</v>
      </c>
      <c r="F128" s="2">
        <v>64.69</v>
      </c>
      <c r="G128" t="s">
        <v>205</v>
      </c>
      <c r="H128">
        <f ca="1">IF(64.69&lt;&gt;64.69,0,0)</f>
        <v>0</v>
      </c>
      <c r="I128" t="s">
        <v>14</v>
      </c>
      <c r="J128" t="s">
        <v>14</v>
      </c>
    </row>
    <row r="129" spans="1:10">
      <c r="A129" t="s">
        <v>220</v>
      </c>
      <c r="B129" t="s">
        <v>203</v>
      </c>
      <c r="C129" t="s">
        <v>221</v>
      </c>
      <c r="D129" s="1">
        <v>19.31</v>
      </c>
      <c r="E129" s="2">
        <v>4.4</v>
      </c>
      <c r="F129" s="2">
        <v>84.96</v>
      </c>
      <c r="G129" t="s">
        <v>205</v>
      </c>
      <c r="H129">
        <f ca="1">IF(84.96&lt;&gt;84.96,0,0)</f>
        <v>0</v>
      </c>
      <c r="I129" t="s">
        <v>14</v>
      </c>
      <c r="J129" t="s">
        <v>14</v>
      </c>
    </row>
    <row r="130" spans="1:10">
      <c r="A130" t="s">
        <v>222</v>
      </c>
      <c r="B130" t="s">
        <v>203</v>
      </c>
      <c r="C130" t="s">
        <v>217</v>
      </c>
      <c r="D130" s="1">
        <v>19.28</v>
      </c>
      <c r="E130" s="2">
        <v>6.4</v>
      </c>
      <c r="F130" s="2">
        <v>123.39</v>
      </c>
      <c r="G130" t="s">
        <v>205</v>
      </c>
      <c r="H130">
        <f ca="1">IF(123.39&lt;&gt;123.39,0,0)</f>
        <v>0</v>
      </c>
      <c r="I130" t="s">
        <v>14</v>
      </c>
      <c r="J130" t="s">
        <v>14</v>
      </c>
    </row>
    <row r="131" spans="1:10">
      <c r="A131" t="s">
        <v>223</v>
      </c>
      <c r="B131" t="s">
        <v>203</v>
      </c>
      <c r="C131" t="s">
        <v>224</v>
      </c>
      <c r="D131" s="1">
        <v>19.31</v>
      </c>
      <c r="E131" s="2">
        <v>4.55</v>
      </c>
      <c r="F131" s="2">
        <v>87.86</v>
      </c>
      <c r="G131" t="s">
        <v>205</v>
      </c>
      <c r="H131">
        <f ca="1">IF(87.86&lt;&gt;87.86,0,0)</f>
        <v>0</v>
      </c>
      <c r="I131" t="s">
        <v>14</v>
      </c>
      <c r="J131" t="s">
        <v>14</v>
      </c>
    </row>
    <row r="132" spans="1:10">
      <c r="A132" t="s">
        <v>225</v>
      </c>
      <c r="B132" t="s">
        <v>203</v>
      </c>
      <c r="C132" t="s">
        <v>226</v>
      </c>
      <c r="D132" s="1">
        <v>19.28</v>
      </c>
      <c r="E132" s="2">
        <v>5.7</v>
      </c>
      <c r="F132" s="2">
        <v>109.9</v>
      </c>
      <c r="G132" t="s">
        <v>205</v>
      </c>
      <c r="H132">
        <f ca="1">IF(109.9&lt;&gt;109.9,0,0)</f>
        <v>0</v>
      </c>
      <c r="I132" t="s">
        <v>14</v>
      </c>
      <c r="J132" t="s">
        <v>14</v>
      </c>
    </row>
    <row r="133" spans="1:10">
      <c r="A133" t="s">
        <v>227</v>
      </c>
      <c r="B133" t="s">
        <v>203</v>
      </c>
      <c r="C133" t="s">
        <v>207</v>
      </c>
      <c r="D133" s="1">
        <v>19.22</v>
      </c>
      <c r="E133" s="2">
        <v>4.4</v>
      </c>
      <c r="F133" s="2">
        <v>84.57</v>
      </c>
      <c r="G133" t="s">
        <v>205</v>
      </c>
      <c r="H133">
        <f ca="1">IF(84.57&lt;&gt;84.57,0,0)</f>
        <v>0</v>
      </c>
      <c r="I133" t="s">
        <v>14</v>
      </c>
      <c r="J133" t="s">
        <v>14</v>
      </c>
    </row>
    <row r="134" spans="1:10">
      <c r="A134" t="s">
        <v>228</v>
      </c>
      <c r="B134" t="s">
        <v>203</v>
      </c>
      <c r="C134" t="s">
        <v>229</v>
      </c>
      <c r="D134" s="1">
        <v>19.31</v>
      </c>
      <c r="E134" s="2">
        <v>4.55</v>
      </c>
      <c r="F134" s="2">
        <v>87.86</v>
      </c>
      <c r="G134" t="s">
        <v>205</v>
      </c>
      <c r="H134">
        <f ca="1">IF(87.86&lt;&gt;87.86,0,0)</f>
        <v>0</v>
      </c>
      <c r="I134" t="s">
        <v>14</v>
      </c>
      <c r="J134" t="s">
        <v>14</v>
      </c>
    </row>
    <row r="135" spans="1:10">
      <c r="A135" t="s">
        <v>230</v>
      </c>
      <c r="B135" t="s">
        <v>203</v>
      </c>
      <c r="C135" t="s">
        <v>207</v>
      </c>
      <c r="D135" s="1">
        <v>19.27</v>
      </c>
      <c r="E135" s="2">
        <v>4.4</v>
      </c>
      <c r="F135" s="2">
        <v>84.79</v>
      </c>
      <c r="G135" t="s">
        <v>205</v>
      </c>
      <c r="H135">
        <f ca="1">IF(84.79&lt;&gt;84.79,0,0)</f>
        <v>0</v>
      </c>
      <c r="I135" t="s">
        <v>14</v>
      </c>
      <c r="J135" t="s">
        <v>14</v>
      </c>
    </row>
    <row r="136" spans="1:10">
      <c r="A136" t="s">
        <v>231</v>
      </c>
      <c r="B136" t="s">
        <v>203</v>
      </c>
      <c r="C136" t="s">
        <v>215</v>
      </c>
      <c r="D136" s="1">
        <v>19.42</v>
      </c>
      <c r="E136" s="2">
        <v>6.2</v>
      </c>
      <c r="F136" s="2">
        <v>120.4</v>
      </c>
      <c r="G136" t="s">
        <v>205</v>
      </c>
      <c r="H136">
        <f ca="1">IF(120.4&lt;&gt;120.4,0,0)</f>
        <v>0</v>
      </c>
      <c r="I136" t="s">
        <v>14</v>
      </c>
      <c r="J136" t="s">
        <v>14</v>
      </c>
    </row>
    <row r="137" spans="1:10">
      <c r="A137" t="s">
        <v>232</v>
      </c>
      <c r="B137" t="s">
        <v>203</v>
      </c>
      <c r="C137" t="s">
        <v>233</v>
      </c>
      <c r="D137" s="1">
        <v>19.38</v>
      </c>
      <c r="E137" s="2">
        <v>3.35</v>
      </c>
      <c r="F137" s="2">
        <v>64.92</v>
      </c>
      <c r="G137" t="s">
        <v>205</v>
      </c>
      <c r="H137">
        <f ca="1">IF(64.92&lt;&gt;64.92,0,0)</f>
        <v>0</v>
      </c>
      <c r="I137" t="s">
        <v>14</v>
      </c>
      <c r="J137" t="s">
        <v>14</v>
      </c>
    </row>
    <row r="138" spans="1:10">
      <c r="A138" t="s">
        <v>234</v>
      </c>
      <c r="B138" t="s">
        <v>203</v>
      </c>
      <c r="C138" t="s">
        <v>235</v>
      </c>
      <c r="D138" s="1">
        <v>19.32</v>
      </c>
      <c r="E138" s="2">
        <v>6.2</v>
      </c>
      <c r="F138" s="2">
        <v>119.78</v>
      </c>
      <c r="G138" t="s">
        <v>205</v>
      </c>
      <c r="H138">
        <f ca="1">IF(119.78&lt;&gt;119.78,0,0)</f>
        <v>0</v>
      </c>
      <c r="I138" t="s">
        <v>14</v>
      </c>
      <c r="J138" t="s">
        <v>14</v>
      </c>
    </row>
    <row r="139" spans="1:10">
      <c r="A139" t="s">
        <v>236</v>
      </c>
      <c r="B139" t="s">
        <v>203</v>
      </c>
      <c r="C139" t="s">
        <v>237</v>
      </c>
      <c r="D139" s="1">
        <v>19.42</v>
      </c>
      <c r="E139" s="2">
        <v>5.15</v>
      </c>
      <c r="F139" s="2">
        <v>100.01</v>
      </c>
      <c r="G139" t="s">
        <v>205</v>
      </c>
      <c r="H139">
        <f ca="1">IF(100.01&lt;&gt;100.01,0,0)</f>
        <v>0</v>
      </c>
      <c r="I139" t="s">
        <v>14</v>
      </c>
      <c r="J139" t="s">
        <v>14</v>
      </c>
    </row>
    <row r="140" spans="1:10">
      <c r="A140" t="s">
        <v>238</v>
      </c>
      <c r="B140" t="s">
        <v>203</v>
      </c>
      <c r="C140" t="s">
        <v>217</v>
      </c>
      <c r="D140" s="1">
        <v>19.46</v>
      </c>
      <c r="E140" s="2">
        <v>6.4</v>
      </c>
      <c r="F140" s="2">
        <v>124.54</v>
      </c>
      <c r="G140" t="s">
        <v>205</v>
      </c>
      <c r="H140">
        <f ca="1">IF(124.54&lt;&gt;124.54,0,0)</f>
        <v>0</v>
      </c>
      <c r="I140" t="s">
        <v>14</v>
      </c>
      <c r="J140" t="s">
        <v>14</v>
      </c>
    </row>
    <row r="141" spans="1:10">
      <c r="A141" t="s">
        <v>239</v>
      </c>
      <c r="B141" t="s">
        <v>203</v>
      </c>
      <c r="C141" t="s">
        <v>219</v>
      </c>
      <c r="D141" s="1">
        <v>19.34</v>
      </c>
      <c r="E141" s="2">
        <v>3.35</v>
      </c>
      <c r="F141" s="2">
        <v>64.79</v>
      </c>
      <c r="G141" t="s">
        <v>205</v>
      </c>
      <c r="H141">
        <f ca="1">IF(64.79&lt;&gt;64.79,0,0)</f>
        <v>0</v>
      </c>
      <c r="I141" t="s">
        <v>14</v>
      </c>
      <c r="J141" t="s">
        <v>14</v>
      </c>
    </row>
    <row r="142" spans="1:10">
      <c r="A142" t="s">
        <v>240</v>
      </c>
      <c r="B142" t="s">
        <v>203</v>
      </c>
      <c r="C142" t="s">
        <v>221</v>
      </c>
      <c r="D142" s="1">
        <v>19.4</v>
      </c>
      <c r="E142" s="2">
        <v>4.4</v>
      </c>
      <c r="F142" s="2">
        <v>85.36</v>
      </c>
      <c r="G142" t="s">
        <v>205</v>
      </c>
      <c r="H142">
        <f ca="1">IF(85.36&lt;&gt;85.36,0,0)</f>
        <v>0</v>
      </c>
      <c r="I142" t="s">
        <v>14</v>
      </c>
      <c r="J142" t="s">
        <v>14</v>
      </c>
    </row>
    <row r="143" spans="1:10">
      <c r="A143" t="s">
        <v>241</v>
      </c>
      <c r="B143" t="s">
        <v>203</v>
      </c>
      <c r="C143" t="s">
        <v>235</v>
      </c>
      <c r="D143" s="1">
        <v>19.38</v>
      </c>
      <c r="E143" s="2">
        <v>6.2</v>
      </c>
      <c r="F143" s="2">
        <v>120.16</v>
      </c>
      <c r="G143" t="s">
        <v>205</v>
      </c>
      <c r="H143">
        <f ca="1">IF(120.16&lt;&gt;120.16,0,0)</f>
        <v>0</v>
      </c>
      <c r="I143" t="s">
        <v>14</v>
      </c>
      <c r="J143" t="s">
        <v>14</v>
      </c>
    </row>
    <row r="144" spans="1:10">
      <c r="A144" t="s">
        <v>242</v>
      </c>
      <c r="B144" t="s">
        <v>203</v>
      </c>
      <c r="C144" t="s">
        <v>224</v>
      </c>
      <c r="D144" s="1">
        <v>19.42</v>
      </c>
      <c r="E144" s="2">
        <v>4.55</v>
      </c>
      <c r="F144" s="2">
        <v>88.36</v>
      </c>
      <c r="G144" t="s">
        <v>205</v>
      </c>
      <c r="H144">
        <f ca="1">IF(88.36&lt;&gt;88.36,0,0)</f>
        <v>0</v>
      </c>
      <c r="I144" t="s">
        <v>14</v>
      </c>
      <c r="J144" t="s">
        <v>14</v>
      </c>
    </row>
    <row r="145" spans="1:10">
      <c r="A145" t="s">
        <v>243</v>
      </c>
      <c r="B145" t="s">
        <v>203</v>
      </c>
      <c r="C145" t="s">
        <v>244</v>
      </c>
      <c r="D145" s="1">
        <v>19.34</v>
      </c>
      <c r="E145" s="2">
        <v>5.45</v>
      </c>
      <c r="F145" s="2">
        <v>105.4</v>
      </c>
      <c r="G145" t="s">
        <v>205</v>
      </c>
      <c r="H145">
        <f ca="1">IF(105.4&lt;&gt;105.4,0,0)</f>
        <v>0</v>
      </c>
      <c r="I145" t="s">
        <v>14</v>
      </c>
      <c r="J145" t="s">
        <v>14</v>
      </c>
    </row>
    <row r="146" spans="1:10">
      <c r="A146" t="s">
        <v>245</v>
      </c>
      <c r="B146" t="s">
        <v>203</v>
      </c>
      <c r="C146" t="s">
        <v>229</v>
      </c>
      <c r="D146" s="1">
        <v>19.37</v>
      </c>
      <c r="E146" s="2">
        <v>4.55</v>
      </c>
      <c r="F146" s="2">
        <v>88.13</v>
      </c>
      <c r="G146" t="s">
        <v>205</v>
      </c>
      <c r="H146">
        <f ca="1">IF(88.13&lt;&gt;88.13,0,0)</f>
        <v>0</v>
      </c>
      <c r="I146" t="s">
        <v>14</v>
      </c>
      <c r="J146" t="s">
        <v>14</v>
      </c>
    </row>
    <row r="147" spans="1:10">
      <c r="A147" t="s">
        <v>246</v>
      </c>
      <c r="B147" t="s">
        <v>203</v>
      </c>
      <c r="C147" t="s">
        <v>224</v>
      </c>
      <c r="D147" s="1">
        <v>19.42</v>
      </c>
      <c r="E147" s="2">
        <v>4.55</v>
      </c>
      <c r="F147" s="2">
        <v>88.36</v>
      </c>
      <c r="G147" t="s">
        <v>205</v>
      </c>
      <c r="H147">
        <f ca="1">IF(88.36&lt;&gt;88.36,0,0)</f>
        <v>0</v>
      </c>
      <c r="I147" t="s">
        <v>14</v>
      </c>
      <c r="J147" t="s">
        <v>14</v>
      </c>
    </row>
    <row r="148" spans="1:10">
      <c r="A148" t="s">
        <v>247</v>
      </c>
      <c r="B148" t="s">
        <v>203</v>
      </c>
      <c r="C148" t="s">
        <v>248</v>
      </c>
      <c r="D148" s="1">
        <v>19.47</v>
      </c>
      <c r="E148" s="2">
        <v>5.95</v>
      </c>
      <c r="F148" s="2">
        <v>115.85</v>
      </c>
      <c r="G148" t="s">
        <v>205</v>
      </c>
      <c r="H148">
        <f ca="1">IF(115.85&lt;&gt;115.85,0,0)</f>
        <v>0</v>
      </c>
      <c r="I148" t="s">
        <v>14</v>
      </c>
      <c r="J148" t="s">
        <v>14</v>
      </c>
    </row>
    <row r="149" spans="1:10">
      <c r="A149" t="s">
        <v>249</v>
      </c>
      <c r="B149" t="s">
        <v>203</v>
      </c>
      <c r="C149" t="s">
        <v>217</v>
      </c>
      <c r="D149" s="1">
        <v>19.4</v>
      </c>
      <c r="E149" s="2">
        <v>6.4</v>
      </c>
      <c r="F149" s="2">
        <v>124.16</v>
      </c>
      <c r="G149" t="s">
        <v>205</v>
      </c>
      <c r="H149">
        <f ca="1">IF(124.16&lt;&gt;124.16,0,0)</f>
        <v>0</v>
      </c>
      <c r="I149" t="s">
        <v>14</v>
      </c>
      <c r="J149" t="s">
        <v>14</v>
      </c>
    </row>
    <row r="150" spans="1:10">
      <c r="A150" t="s">
        <v>250</v>
      </c>
      <c r="B150" t="s">
        <v>203</v>
      </c>
      <c r="C150" t="s">
        <v>219</v>
      </c>
      <c r="D150" s="1">
        <v>19.41</v>
      </c>
      <c r="E150" s="2">
        <v>3.35</v>
      </c>
      <c r="F150" s="2">
        <v>65.02</v>
      </c>
      <c r="G150" t="s">
        <v>205</v>
      </c>
      <c r="H150">
        <f ca="1">IF(65.02&lt;&gt;65.02,0,0)</f>
        <v>0</v>
      </c>
      <c r="I150" t="s">
        <v>14</v>
      </c>
      <c r="J150" t="s">
        <v>14</v>
      </c>
    </row>
    <row r="151" spans="1:10">
      <c r="A151" t="s">
        <v>251</v>
      </c>
      <c r="B151" t="s">
        <v>203</v>
      </c>
      <c r="C151" t="s">
        <v>224</v>
      </c>
      <c r="D151" s="1">
        <v>19.4</v>
      </c>
      <c r="E151" s="2">
        <v>4.55</v>
      </c>
      <c r="F151" s="2">
        <v>88.27</v>
      </c>
      <c r="G151" t="s">
        <v>205</v>
      </c>
      <c r="H151">
        <f ca="1">IF(88.27&lt;&gt;88.27,0,0)</f>
        <v>0</v>
      </c>
      <c r="I151" t="s">
        <v>14</v>
      </c>
      <c r="J151" t="s">
        <v>14</v>
      </c>
    </row>
    <row r="152" spans="1:10">
      <c r="A152" t="s">
        <v>252</v>
      </c>
      <c r="B152" t="s">
        <v>203</v>
      </c>
      <c r="C152" t="s">
        <v>253</v>
      </c>
      <c r="D152" s="1">
        <v>19.44</v>
      </c>
      <c r="E152" s="2">
        <v>5.95</v>
      </c>
      <c r="F152" s="2">
        <v>115.67</v>
      </c>
      <c r="G152" t="s">
        <v>205</v>
      </c>
      <c r="H152">
        <f ca="1">IF(115.67&lt;&gt;115.67,0,0)</f>
        <v>0</v>
      </c>
      <c r="I152" t="s">
        <v>14</v>
      </c>
      <c r="J152" t="s">
        <v>14</v>
      </c>
    </row>
    <row r="153" spans="1:10">
      <c r="A153" t="s">
        <v>254</v>
      </c>
      <c r="B153" t="s">
        <v>203</v>
      </c>
      <c r="C153" t="s">
        <v>255</v>
      </c>
      <c r="D153" s="1">
        <v>19.44</v>
      </c>
      <c r="E153" s="2">
        <v>5.15</v>
      </c>
      <c r="F153" s="2">
        <v>100.12</v>
      </c>
      <c r="G153" t="s">
        <v>205</v>
      </c>
      <c r="H153">
        <f ca="1">IF(100.12&lt;&gt;100.12,0,0)</f>
        <v>0</v>
      </c>
      <c r="I153" t="s">
        <v>14</v>
      </c>
      <c r="J153" t="s">
        <v>14</v>
      </c>
    </row>
    <row r="154" spans="1:10">
      <c r="A154" t="s">
        <v>256</v>
      </c>
      <c r="B154" t="s">
        <v>203</v>
      </c>
      <c r="C154" t="s">
        <v>224</v>
      </c>
      <c r="D154" s="1">
        <v>19.38</v>
      </c>
      <c r="E154" s="2">
        <v>4.55</v>
      </c>
      <c r="F154" s="2">
        <v>88.18</v>
      </c>
      <c r="G154" t="s">
        <v>205</v>
      </c>
      <c r="H154">
        <f ca="1">IF(88.18&lt;&gt;88.18,0,0)</f>
        <v>0</v>
      </c>
      <c r="I154" t="s">
        <v>14</v>
      </c>
      <c r="J154" t="s">
        <v>14</v>
      </c>
    </row>
    <row r="155" spans="1:10">
      <c r="A155" t="s">
        <v>257</v>
      </c>
      <c r="B155" t="s">
        <v>203</v>
      </c>
      <c r="C155" t="s">
        <v>258</v>
      </c>
      <c r="D155" s="1">
        <v>19.34</v>
      </c>
      <c r="E155" s="2">
        <v>5.7</v>
      </c>
      <c r="F155" s="2">
        <v>110.24</v>
      </c>
      <c r="G155" t="s">
        <v>205</v>
      </c>
      <c r="H155">
        <f ca="1">IF(110.24&lt;&gt;110.24,0,0)</f>
        <v>0</v>
      </c>
      <c r="I155" t="s">
        <v>14</v>
      </c>
      <c r="J155" t="s">
        <v>14</v>
      </c>
    </row>
    <row r="156" spans="1:10">
      <c r="A156" t="s">
        <v>259</v>
      </c>
      <c r="B156" t="s">
        <v>203</v>
      </c>
      <c r="C156" t="s">
        <v>204</v>
      </c>
      <c r="D156" s="1">
        <v>19.44</v>
      </c>
      <c r="E156" s="2">
        <v>4.4</v>
      </c>
      <c r="F156" s="2">
        <v>85.54</v>
      </c>
      <c r="G156" t="s">
        <v>205</v>
      </c>
      <c r="H156">
        <f ca="1">IF(85.54&lt;&gt;85.54,0,0)</f>
        <v>0</v>
      </c>
      <c r="I156" t="s">
        <v>14</v>
      </c>
      <c r="J156" t="s">
        <v>14</v>
      </c>
    </row>
    <row r="157" spans="1:10">
      <c r="A157" t="s">
        <v>260</v>
      </c>
      <c r="B157" t="s">
        <v>203</v>
      </c>
      <c r="C157" t="s">
        <v>217</v>
      </c>
      <c r="D157" s="1">
        <v>19.4</v>
      </c>
      <c r="E157" s="2">
        <v>6.4</v>
      </c>
      <c r="F157" s="2">
        <v>124.16</v>
      </c>
      <c r="G157" t="s">
        <v>205</v>
      </c>
      <c r="H157">
        <f ca="1">IF(124.16&lt;&gt;124.16,0,0)</f>
        <v>0</v>
      </c>
      <c r="I157" t="s">
        <v>14</v>
      </c>
      <c r="J157" t="s">
        <v>14</v>
      </c>
    </row>
    <row r="158" spans="1:10">
      <c r="A158" t="s">
        <v>261</v>
      </c>
      <c r="B158" t="s">
        <v>203</v>
      </c>
      <c r="C158" t="s">
        <v>224</v>
      </c>
      <c r="D158" s="1">
        <v>19.42</v>
      </c>
      <c r="E158" s="2">
        <v>4.55</v>
      </c>
      <c r="F158" s="2">
        <v>88.36</v>
      </c>
      <c r="G158" t="s">
        <v>205</v>
      </c>
      <c r="H158">
        <f ca="1">IF(88.36&lt;&gt;88.36,0,0)</f>
        <v>0</v>
      </c>
      <c r="I158" t="s">
        <v>14</v>
      </c>
      <c r="J158" t="s">
        <v>14</v>
      </c>
    </row>
    <row r="159" spans="1:10">
      <c r="A159" t="s">
        <v>262</v>
      </c>
      <c r="B159" t="s">
        <v>203</v>
      </c>
      <c r="C159" t="s">
        <v>207</v>
      </c>
      <c r="D159" s="1">
        <v>19.42</v>
      </c>
      <c r="E159" s="2">
        <v>4.4</v>
      </c>
      <c r="F159" s="2">
        <v>85.45</v>
      </c>
      <c r="G159" t="s">
        <v>205</v>
      </c>
      <c r="H159">
        <f ca="1">IF(85.45&lt;&gt;85.45,0,0)</f>
        <v>0</v>
      </c>
      <c r="I159" t="s">
        <v>14</v>
      </c>
      <c r="J159" t="s">
        <v>14</v>
      </c>
    </row>
    <row r="160" spans="1:10">
      <c r="A160" t="s">
        <v>263</v>
      </c>
      <c r="B160" t="s">
        <v>203</v>
      </c>
      <c r="C160" t="s">
        <v>264</v>
      </c>
      <c r="D160" s="1">
        <v>19.38</v>
      </c>
      <c r="E160" s="2">
        <v>5.45</v>
      </c>
      <c r="F160" s="2">
        <v>105.62</v>
      </c>
      <c r="G160" t="s">
        <v>205</v>
      </c>
      <c r="H160">
        <f ca="1">IF(105.62&lt;&gt;105.62,0,0)</f>
        <v>0</v>
      </c>
      <c r="I160" t="s">
        <v>14</v>
      </c>
      <c r="J160" t="s">
        <v>14</v>
      </c>
    </row>
    <row r="161" spans="1:10">
      <c r="A161" t="s">
        <v>265</v>
      </c>
      <c r="B161" t="s">
        <v>266</v>
      </c>
      <c r="C161" t="s">
        <v>229</v>
      </c>
      <c r="D161" s="1">
        <v>17.68</v>
      </c>
      <c r="E161" s="2">
        <v>4.55</v>
      </c>
      <c r="F161" s="2">
        <v>80.44</v>
      </c>
      <c r="G161" t="s">
        <v>267</v>
      </c>
      <c r="H161">
        <f ca="1">IF(80.44&lt;&gt;80.44,0,0)</f>
        <v>0</v>
      </c>
      <c r="I161" t="s">
        <v>14</v>
      </c>
      <c r="J161" t="s">
        <v>14</v>
      </c>
    </row>
    <row r="162" spans="1:10">
      <c r="A162" t="s">
        <v>268</v>
      </c>
      <c r="B162" t="s">
        <v>266</v>
      </c>
      <c r="C162" t="s">
        <v>269</v>
      </c>
      <c r="D162" s="1">
        <v>17.68</v>
      </c>
      <c r="E162" s="2">
        <v>4.3</v>
      </c>
      <c r="F162" s="2">
        <v>76.02</v>
      </c>
      <c r="G162" t="s">
        <v>267</v>
      </c>
      <c r="H162">
        <f ca="1">IF(76.02&lt;&gt;76.02,0,0)</f>
        <v>0</v>
      </c>
      <c r="I162" t="s">
        <v>14</v>
      </c>
      <c r="J162" t="s">
        <v>14</v>
      </c>
    </row>
    <row r="163" spans="1:10">
      <c r="A163" t="s">
        <v>270</v>
      </c>
      <c r="B163" t="s">
        <v>266</v>
      </c>
      <c r="C163" t="s">
        <v>211</v>
      </c>
      <c r="D163" s="1">
        <v>17.69</v>
      </c>
      <c r="E163" s="2">
        <v>4.95</v>
      </c>
      <c r="F163" s="2">
        <v>87.57</v>
      </c>
      <c r="G163" t="s">
        <v>267</v>
      </c>
      <c r="H163">
        <f ca="1">IF(87.57&lt;&gt;87.57,0,0)</f>
        <v>0</v>
      </c>
      <c r="I163" t="s">
        <v>14</v>
      </c>
      <c r="J163" t="s">
        <v>14</v>
      </c>
    </row>
    <row r="164" spans="1:10">
      <c r="A164" t="s">
        <v>271</v>
      </c>
      <c r="B164" t="s">
        <v>266</v>
      </c>
      <c r="C164" t="s">
        <v>219</v>
      </c>
      <c r="D164" s="1">
        <v>17.66</v>
      </c>
      <c r="E164" s="2">
        <v>3.35</v>
      </c>
      <c r="F164" s="2">
        <v>59.16</v>
      </c>
      <c r="G164" t="s">
        <v>267</v>
      </c>
      <c r="H164">
        <f ca="1">IF(59.16&lt;&gt;59.16,0,0)</f>
        <v>0</v>
      </c>
      <c r="I164" t="s">
        <v>14</v>
      </c>
      <c r="J164" t="s">
        <v>14</v>
      </c>
    </row>
    <row r="165" spans="1:10">
      <c r="A165" t="s">
        <v>272</v>
      </c>
      <c r="B165" t="s">
        <v>266</v>
      </c>
      <c r="C165" t="s">
        <v>235</v>
      </c>
      <c r="D165" s="1">
        <v>17.65</v>
      </c>
      <c r="E165" s="2">
        <v>6.2</v>
      </c>
      <c r="F165" s="2">
        <v>109.43</v>
      </c>
      <c r="G165" t="s">
        <v>267</v>
      </c>
      <c r="H165">
        <f ca="1">IF(109.43&lt;&gt;109.43,0,0)</f>
        <v>0</v>
      </c>
      <c r="I165" t="s">
        <v>14</v>
      </c>
      <c r="J165" t="s">
        <v>14</v>
      </c>
    </row>
    <row r="166" spans="1:10">
      <c r="A166" t="s">
        <v>273</v>
      </c>
      <c r="B166" t="s">
        <v>266</v>
      </c>
      <c r="C166" t="s">
        <v>274</v>
      </c>
      <c r="D166" s="1">
        <v>17.67</v>
      </c>
      <c r="E166" s="2">
        <v>8.25</v>
      </c>
      <c r="F166" s="2">
        <v>145.78</v>
      </c>
      <c r="G166" t="s">
        <v>267</v>
      </c>
      <c r="H166">
        <f ca="1">IF(145.78&lt;&gt;145.78,0,0)</f>
        <v>0</v>
      </c>
      <c r="I166" t="s">
        <v>14</v>
      </c>
      <c r="J166" t="s">
        <v>14</v>
      </c>
    </row>
    <row r="167" spans="1:10">
      <c r="A167" t="s">
        <v>275</v>
      </c>
      <c r="B167" t="s">
        <v>266</v>
      </c>
      <c r="C167" t="s">
        <v>219</v>
      </c>
      <c r="D167" s="1">
        <v>17.66</v>
      </c>
      <c r="E167" s="2">
        <v>3.35</v>
      </c>
      <c r="F167" s="2">
        <v>59.16</v>
      </c>
      <c r="G167" t="s">
        <v>267</v>
      </c>
      <c r="H167">
        <f ca="1">IF(59.16&lt;&gt;59.16,0,0)</f>
        <v>0</v>
      </c>
      <c r="I167" t="s">
        <v>14</v>
      </c>
      <c r="J167" t="s">
        <v>14</v>
      </c>
    </row>
    <row r="168" spans="1:10">
      <c r="A168" t="s">
        <v>276</v>
      </c>
      <c r="B168" t="s">
        <v>266</v>
      </c>
      <c r="C168" t="s">
        <v>226</v>
      </c>
      <c r="D168" s="1">
        <v>17.68</v>
      </c>
      <c r="E168" s="2">
        <v>5.7</v>
      </c>
      <c r="F168" s="2">
        <v>100.78</v>
      </c>
      <c r="G168" t="s">
        <v>267</v>
      </c>
      <c r="H168">
        <f ca="1">IF(100.78&lt;&gt;100.78,0,0)</f>
        <v>0</v>
      </c>
      <c r="I168" t="s">
        <v>14</v>
      </c>
      <c r="J168" t="s">
        <v>14</v>
      </c>
    </row>
    <row r="169" spans="1:10">
      <c r="A169" t="s">
        <v>277</v>
      </c>
      <c r="B169" t="s">
        <v>266</v>
      </c>
      <c r="C169" t="s">
        <v>235</v>
      </c>
      <c r="D169" s="1">
        <v>17.73</v>
      </c>
      <c r="E169" s="2">
        <v>6.2</v>
      </c>
      <c r="F169" s="2">
        <v>109.93</v>
      </c>
      <c r="G169" t="s">
        <v>267</v>
      </c>
      <c r="H169">
        <f ca="1">IF(109.93&lt;&gt;109.93,0,0)</f>
        <v>0</v>
      </c>
      <c r="I169" t="s">
        <v>14</v>
      </c>
      <c r="J169" t="s">
        <v>14</v>
      </c>
    </row>
    <row r="170" spans="1:10">
      <c r="A170" t="s">
        <v>278</v>
      </c>
      <c r="B170" t="s">
        <v>266</v>
      </c>
      <c r="C170" t="s">
        <v>207</v>
      </c>
      <c r="D170" s="1">
        <v>17.82</v>
      </c>
      <c r="E170" s="2">
        <v>4.4</v>
      </c>
      <c r="F170" s="2">
        <v>78.41</v>
      </c>
      <c r="G170" t="s">
        <v>267</v>
      </c>
      <c r="H170">
        <f ca="1">IF(78.41&lt;&gt;78.41,0,0)</f>
        <v>0</v>
      </c>
      <c r="I170" t="s">
        <v>14</v>
      </c>
      <c r="J170" t="s">
        <v>14</v>
      </c>
    </row>
    <row r="171" spans="1:10">
      <c r="A171" t="s">
        <v>279</v>
      </c>
      <c r="B171" t="s">
        <v>266</v>
      </c>
      <c r="C171" t="s">
        <v>229</v>
      </c>
      <c r="D171" s="1">
        <v>17.77</v>
      </c>
      <c r="E171" s="2">
        <v>4.55</v>
      </c>
      <c r="F171" s="2">
        <v>80.85</v>
      </c>
      <c r="G171" t="s">
        <v>267</v>
      </c>
      <c r="H171">
        <f ca="1">IF(80.85&lt;&gt;80.85,0,0)</f>
        <v>0</v>
      </c>
      <c r="I171" t="s">
        <v>14</v>
      </c>
      <c r="J171" t="s">
        <v>14</v>
      </c>
    </row>
    <row r="172" spans="1:10">
      <c r="A172" t="s">
        <v>280</v>
      </c>
      <c r="B172" t="s">
        <v>266</v>
      </c>
      <c r="C172" t="s">
        <v>281</v>
      </c>
      <c r="D172" s="1">
        <v>17.78</v>
      </c>
      <c r="E172" s="2">
        <v>4.95</v>
      </c>
      <c r="F172" s="2">
        <v>88.01</v>
      </c>
      <c r="G172" t="s">
        <v>267</v>
      </c>
      <c r="H172">
        <f ca="1">IF(88.01&lt;&gt;88.01,0,0)</f>
        <v>0</v>
      </c>
      <c r="I172" t="s">
        <v>14</v>
      </c>
      <c r="J172" t="s">
        <v>14</v>
      </c>
    </row>
    <row r="173" spans="1:10">
      <c r="A173" t="s">
        <v>282</v>
      </c>
      <c r="B173" t="s">
        <v>266</v>
      </c>
      <c r="C173" t="s">
        <v>224</v>
      </c>
      <c r="D173" s="1">
        <v>17.72</v>
      </c>
      <c r="E173" s="2">
        <v>4.55</v>
      </c>
      <c r="F173" s="2">
        <v>80.63</v>
      </c>
      <c r="G173" t="s">
        <v>267</v>
      </c>
      <c r="H173">
        <f ca="1">IF(80.63&lt;&gt;80.63,0,0)</f>
        <v>0</v>
      </c>
      <c r="I173" t="s">
        <v>14</v>
      </c>
      <c r="J173" t="s">
        <v>14</v>
      </c>
    </row>
    <row r="174" spans="1:10">
      <c r="A174" t="s">
        <v>283</v>
      </c>
      <c r="B174" t="s">
        <v>266</v>
      </c>
      <c r="C174" t="s">
        <v>284</v>
      </c>
      <c r="D174" s="1">
        <v>17.75</v>
      </c>
      <c r="E174" s="2">
        <v>5.15</v>
      </c>
      <c r="F174" s="2">
        <v>91.41</v>
      </c>
      <c r="G174" t="s">
        <v>267</v>
      </c>
      <c r="H174">
        <f ca="1">IF(91.41&lt;&gt;91.41,0,0)</f>
        <v>0</v>
      </c>
      <c r="I174" t="s">
        <v>14</v>
      </c>
      <c r="J174" t="s">
        <v>14</v>
      </c>
    </row>
    <row r="175" spans="1:10">
      <c r="A175" t="s">
        <v>285</v>
      </c>
      <c r="B175" t="s">
        <v>266</v>
      </c>
      <c r="C175" t="s">
        <v>286</v>
      </c>
      <c r="D175" s="1">
        <v>17.78</v>
      </c>
      <c r="E175" s="2">
        <v>6.2</v>
      </c>
      <c r="F175" s="2">
        <v>110.24</v>
      </c>
      <c r="G175" t="s">
        <v>267</v>
      </c>
      <c r="H175">
        <f ca="1">IF(110.24&lt;&gt;110.24,0,0)</f>
        <v>0</v>
      </c>
      <c r="I175" t="s">
        <v>14</v>
      </c>
      <c r="J175" t="s">
        <v>14</v>
      </c>
    </row>
    <row r="176" spans="1:10">
      <c r="A176" t="s">
        <v>287</v>
      </c>
      <c r="B176" t="s">
        <v>266</v>
      </c>
      <c r="C176" t="s">
        <v>288</v>
      </c>
      <c r="D176" s="1">
        <v>17.77</v>
      </c>
      <c r="E176" s="2">
        <v>6.2</v>
      </c>
      <c r="F176" s="2">
        <v>110.17</v>
      </c>
      <c r="G176" t="s">
        <v>267</v>
      </c>
      <c r="H176">
        <f ca="1">IF(110.17&lt;&gt;110.17,0,0)</f>
        <v>0</v>
      </c>
      <c r="I176" t="s">
        <v>14</v>
      </c>
      <c r="J176" t="s">
        <v>14</v>
      </c>
    </row>
    <row r="177" spans="1:10">
      <c r="A177" t="s">
        <v>289</v>
      </c>
      <c r="B177" t="s">
        <v>266</v>
      </c>
      <c r="C177" t="s">
        <v>224</v>
      </c>
      <c r="D177" s="1">
        <v>17.81</v>
      </c>
      <c r="E177" s="2">
        <v>4.55</v>
      </c>
      <c r="F177" s="2">
        <v>81.04</v>
      </c>
      <c r="G177" t="s">
        <v>267</v>
      </c>
      <c r="H177">
        <f ca="1">IF(81.04&lt;&gt;81.04,0,0)</f>
        <v>0</v>
      </c>
      <c r="I177" t="s">
        <v>14</v>
      </c>
      <c r="J177" t="s">
        <v>14</v>
      </c>
    </row>
    <row r="178" spans="1:10">
      <c r="A178" t="s">
        <v>290</v>
      </c>
      <c r="B178" t="s">
        <v>266</v>
      </c>
      <c r="C178" t="s">
        <v>235</v>
      </c>
      <c r="D178" s="1">
        <v>17.67</v>
      </c>
      <c r="E178" s="2">
        <v>6.2</v>
      </c>
      <c r="F178" s="2">
        <v>109.55</v>
      </c>
      <c r="G178" t="s">
        <v>267</v>
      </c>
      <c r="H178">
        <f ca="1">IF(109.55&lt;&gt;109.55,0,0)</f>
        <v>0</v>
      </c>
      <c r="I178" t="s">
        <v>14</v>
      </c>
      <c r="J178" t="s">
        <v>14</v>
      </c>
    </row>
    <row r="179" spans="1:10">
      <c r="A179" t="s">
        <v>291</v>
      </c>
      <c r="B179" t="s">
        <v>266</v>
      </c>
      <c r="C179" t="s">
        <v>207</v>
      </c>
      <c r="D179" s="1">
        <v>17.79</v>
      </c>
      <c r="E179" s="2">
        <v>4.4</v>
      </c>
      <c r="F179" s="2">
        <v>78.28</v>
      </c>
      <c r="G179" t="s">
        <v>267</v>
      </c>
      <c r="H179">
        <f ca="1">IF(78.28&lt;&gt;78.28,0,0)</f>
        <v>0</v>
      </c>
      <c r="I179" t="s">
        <v>14</v>
      </c>
      <c r="J179" t="s">
        <v>14</v>
      </c>
    </row>
    <row r="180" spans="1:10">
      <c r="A180" t="s">
        <v>292</v>
      </c>
      <c r="B180" t="s">
        <v>266</v>
      </c>
      <c r="C180" t="s">
        <v>293</v>
      </c>
      <c r="D180" s="1">
        <v>17.78</v>
      </c>
      <c r="E180" s="2">
        <v>5.95</v>
      </c>
      <c r="F180" s="2">
        <v>105.79</v>
      </c>
      <c r="G180" t="s">
        <v>267</v>
      </c>
      <c r="H180">
        <f ca="1">IF(105.79&lt;&gt;105.79,0,0)</f>
        <v>0</v>
      </c>
      <c r="I180" t="s">
        <v>14</v>
      </c>
      <c r="J180" t="s">
        <v>14</v>
      </c>
    </row>
    <row r="181" spans="1:10">
      <c r="A181" t="s">
        <v>294</v>
      </c>
      <c r="B181" t="s">
        <v>266</v>
      </c>
      <c r="C181" t="s">
        <v>295</v>
      </c>
      <c r="D181" s="1">
        <v>17.78</v>
      </c>
      <c r="E181" s="2">
        <v>4.55</v>
      </c>
      <c r="F181" s="2">
        <v>80.9</v>
      </c>
      <c r="G181" t="s">
        <v>267</v>
      </c>
      <c r="H181">
        <f ca="1">IF(80.9&lt;&gt;80.9,0,0)</f>
        <v>0</v>
      </c>
      <c r="I181" t="s">
        <v>14</v>
      </c>
      <c r="J181" t="s">
        <v>14</v>
      </c>
    </row>
    <row r="182" spans="1:10">
      <c r="A182" t="s">
        <v>296</v>
      </c>
      <c r="B182" t="s">
        <v>266</v>
      </c>
      <c r="C182" t="s">
        <v>224</v>
      </c>
      <c r="D182" s="1">
        <v>17.73</v>
      </c>
      <c r="E182" s="2">
        <v>4.55</v>
      </c>
      <c r="F182" s="2">
        <v>80.67</v>
      </c>
      <c r="G182" t="s">
        <v>267</v>
      </c>
      <c r="H182">
        <f ca="1">IF(80.67&lt;&gt;80.67,0,0)</f>
        <v>0</v>
      </c>
      <c r="I182" t="s">
        <v>14</v>
      </c>
      <c r="J182" t="s">
        <v>14</v>
      </c>
    </row>
    <row r="183" spans="1:10">
      <c r="A183" t="s">
        <v>297</v>
      </c>
      <c r="B183" t="s">
        <v>266</v>
      </c>
      <c r="C183" t="s">
        <v>215</v>
      </c>
      <c r="D183" s="1">
        <v>17.77</v>
      </c>
      <c r="E183" s="2">
        <v>6.2</v>
      </c>
      <c r="F183" s="2">
        <v>110.17</v>
      </c>
      <c r="G183" t="s">
        <v>267</v>
      </c>
      <c r="H183">
        <f ca="1">IF(110.17&lt;&gt;110.17,0,0)</f>
        <v>0</v>
      </c>
      <c r="I183" t="s">
        <v>14</v>
      </c>
      <c r="J183" t="s">
        <v>14</v>
      </c>
    </row>
    <row r="184" spans="1:10">
      <c r="A184" t="s">
        <v>298</v>
      </c>
      <c r="B184" t="s">
        <v>266</v>
      </c>
      <c r="C184" t="s">
        <v>224</v>
      </c>
      <c r="D184" s="1">
        <v>17.8</v>
      </c>
      <c r="E184" s="2">
        <v>4.55</v>
      </c>
      <c r="F184" s="2">
        <v>80.99</v>
      </c>
      <c r="G184" t="s">
        <v>267</v>
      </c>
      <c r="H184">
        <f ca="1">IF(80.99&lt;&gt;80.99,0,0)</f>
        <v>0</v>
      </c>
      <c r="I184" t="s">
        <v>14</v>
      </c>
      <c r="J184" t="s">
        <v>14</v>
      </c>
    </row>
    <row r="185" spans="1:10">
      <c r="A185" t="s">
        <v>299</v>
      </c>
      <c r="B185" t="s">
        <v>266</v>
      </c>
      <c r="C185" t="s">
        <v>226</v>
      </c>
      <c r="D185" s="1">
        <v>17.8</v>
      </c>
      <c r="E185" s="2">
        <v>5.7</v>
      </c>
      <c r="F185" s="2">
        <v>101.46</v>
      </c>
      <c r="G185" t="s">
        <v>267</v>
      </c>
      <c r="H185">
        <f ca="1">IF(101.46&lt;&gt;101.46,0,0)</f>
        <v>0</v>
      </c>
      <c r="I185" t="s">
        <v>14</v>
      </c>
      <c r="J185" t="s">
        <v>14</v>
      </c>
    </row>
    <row r="186" spans="1:10">
      <c r="A186" t="s">
        <v>300</v>
      </c>
      <c r="B186" t="s">
        <v>301</v>
      </c>
      <c r="C186" t="s">
        <v>302</v>
      </c>
      <c r="D186" s="1">
        <v>18.09</v>
      </c>
      <c r="E186" s="2">
        <v>4.2</v>
      </c>
      <c r="F186" s="2">
        <v>75.98</v>
      </c>
      <c r="G186" t="s">
        <v>303</v>
      </c>
      <c r="H186">
        <f ca="1">IF(75.98&lt;&gt;75.98,0,0)</f>
        <v>0</v>
      </c>
      <c r="I186" t="s">
        <v>14</v>
      </c>
      <c r="J186" t="s">
        <v>14</v>
      </c>
    </row>
    <row r="187" spans="1:10">
      <c r="A187" t="s">
        <v>304</v>
      </c>
      <c r="B187" t="s">
        <v>301</v>
      </c>
      <c r="C187" t="s">
        <v>305</v>
      </c>
      <c r="D187" s="1">
        <v>18.1</v>
      </c>
      <c r="E187" s="2">
        <v>5.45</v>
      </c>
      <c r="F187" s="2">
        <v>98.65</v>
      </c>
      <c r="G187" t="s">
        <v>303</v>
      </c>
      <c r="H187">
        <f ca="1">IF(98.65&lt;&gt;98.65,0,0)</f>
        <v>0</v>
      </c>
      <c r="I187" t="s">
        <v>14</v>
      </c>
      <c r="J187" t="s">
        <v>14</v>
      </c>
    </row>
    <row r="188" spans="1:10">
      <c r="A188" t="s">
        <v>306</v>
      </c>
      <c r="B188" t="s">
        <v>301</v>
      </c>
      <c r="C188" t="s">
        <v>307</v>
      </c>
      <c r="D188" s="1">
        <v>18.08</v>
      </c>
      <c r="E188" s="2">
        <v>3.5</v>
      </c>
      <c r="F188" s="2">
        <v>63.28</v>
      </c>
      <c r="G188" t="s">
        <v>303</v>
      </c>
      <c r="H188">
        <f ca="1">IF(63.28&lt;&gt;63.28,0,0)</f>
        <v>0</v>
      </c>
      <c r="I188" t="s">
        <v>14</v>
      </c>
      <c r="J188" t="s">
        <v>14</v>
      </c>
    </row>
    <row r="189" spans="1:10">
      <c r="A189" t="s">
        <v>308</v>
      </c>
      <c r="B189" t="s">
        <v>301</v>
      </c>
      <c r="C189" t="s">
        <v>309</v>
      </c>
      <c r="D189" s="1">
        <v>18.08</v>
      </c>
      <c r="E189" s="2">
        <v>4.55</v>
      </c>
      <c r="F189" s="2">
        <v>82.26</v>
      </c>
      <c r="G189" t="s">
        <v>303</v>
      </c>
      <c r="H189">
        <f ca="1">IF(82.26&lt;&gt;82.26,0,0)</f>
        <v>0</v>
      </c>
      <c r="I189" t="s">
        <v>14</v>
      </c>
      <c r="J189" t="s">
        <v>14</v>
      </c>
    </row>
    <row r="190" spans="1:10">
      <c r="A190" t="s">
        <v>310</v>
      </c>
      <c r="B190" t="s">
        <v>301</v>
      </c>
      <c r="C190" t="s">
        <v>311</v>
      </c>
      <c r="D190" s="1">
        <v>18.12</v>
      </c>
      <c r="E190" s="2">
        <v>3.5</v>
      </c>
      <c r="F190" s="2">
        <v>63.42</v>
      </c>
      <c r="G190" t="s">
        <v>303</v>
      </c>
      <c r="H190">
        <f ca="1">IF(63.42&lt;&gt;63.42,0,0)</f>
        <v>0</v>
      </c>
      <c r="I190" t="s">
        <v>14</v>
      </c>
      <c r="J190" t="s">
        <v>14</v>
      </c>
    </row>
    <row r="191" spans="1:10">
      <c r="A191" t="s">
        <v>312</v>
      </c>
      <c r="B191" t="s">
        <v>301</v>
      </c>
      <c r="C191" t="s">
        <v>313</v>
      </c>
      <c r="D191" s="1">
        <v>18.06</v>
      </c>
      <c r="E191" s="2">
        <v>4.2</v>
      </c>
      <c r="F191" s="2">
        <v>75.85</v>
      </c>
      <c r="G191" t="s">
        <v>303</v>
      </c>
      <c r="H191">
        <f ca="1">IF(75.85&lt;&gt;75.85,0,0)</f>
        <v>0</v>
      </c>
      <c r="I191" t="s">
        <v>14</v>
      </c>
      <c r="J191" t="s">
        <v>14</v>
      </c>
    </row>
    <row r="192" spans="1:10">
      <c r="A192" t="s">
        <v>314</v>
      </c>
      <c r="B192" t="s">
        <v>301</v>
      </c>
      <c r="C192" t="s">
        <v>315</v>
      </c>
      <c r="D192" s="1">
        <v>17.07</v>
      </c>
      <c r="E192" s="2">
        <v>5.7</v>
      </c>
      <c r="F192" s="2">
        <v>97.3</v>
      </c>
      <c r="G192" t="s">
        <v>303</v>
      </c>
      <c r="H192">
        <f ca="1">IF(97.3&lt;&gt;97.3,0,0)</f>
        <v>0</v>
      </c>
      <c r="I192" t="s">
        <v>14</v>
      </c>
      <c r="J192" t="s">
        <v>14</v>
      </c>
    </row>
    <row r="193" spans="1:10">
      <c r="A193" t="s">
        <v>316</v>
      </c>
      <c r="B193" t="s">
        <v>301</v>
      </c>
      <c r="C193" t="s">
        <v>302</v>
      </c>
      <c r="D193" s="1">
        <v>20.21</v>
      </c>
      <c r="E193" s="2">
        <v>4.2</v>
      </c>
      <c r="F193" s="2">
        <v>84.88</v>
      </c>
      <c r="G193" t="s">
        <v>303</v>
      </c>
      <c r="H193">
        <f ca="1">IF(84.88&lt;&gt;84.88,0,0)</f>
        <v>0</v>
      </c>
      <c r="I193" t="s">
        <v>14</v>
      </c>
      <c r="J193" t="s">
        <v>14</v>
      </c>
    </row>
    <row r="194" spans="1:10">
      <c r="A194" t="s">
        <v>317</v>
      </c>
      <c r="B194" t="s">
        <v>301</v>
      </c>
      <c r="C194" t="s">
        <v>318</v>
      </c>
      <c r="D194" s="1">
        <v>18.05</v>
      </c>
      <c r="E194" s="2">
        <v>4.2</v>
      </c>
      <c r="F194" s="2">
        <v>75.81</v>
      </c>
      <c r="G194" t="s">
        <v>303</v>
      </c>
      <c r="H194">
        <f ca="1">IF(75.81&lt;&gt;75.81,0,0)</f>
        <v>0</v>
      </c>
      <c r="I194" t="s">
        <v>14</v>
      </c>
      <c r="J194" t="s">
        <v>14</v>
      </c>
    </row>
    <row r="195" spans="1:10">
      <c r="A195" t="s">
        <v>319</v>
      </c>
      <c r="B195" t="s">
        <v>301</v>
      </c>
      <c r="C195" t="s">
        <v>320</v>
      </c>
      <c r="D195" s="1">
        <v>20.01</v>
      </c>
      <c r="E195" s="2">
        <v>4.2</v>
      </c>
      <c r="F195" s="2">
        <v>84.04</v>
      </c>
      <c r="G195" t="s">
        <v>303</v>
      </c>
      <c r="H195">
        <f ca="1">IF(84.04&lt;&gt;84.04,0,0)</f>
        <v>0</v>
      </c>
      <c r="I195" t="s">
        <v>14</v>
      </c>
      <c r="J195" t="s">
        <v>14</v>
      </c>
    </row>
    <row r="196" spans="1:10">
      <c r="A196" t="s">
        <v>321</v>
      </c>
      <c r="B196" t="s">
        <v>301</v>
      </c>
      <c r="C196" t="s">
        <v>320</v>
      </c>
      <c r="D196" s="1">
        <v>17.96</v>
      </c>
      <c r="E196" s="2">
        <v>4.2</v>
      </c>
      <c r="F196" s="2">
        <v>75.43</v>
      </c>
      <c r="G196" t="s">
        <v>303</v>
      </c>
      <c r="H196">
        <f ca="1">IF(75.43&lt;&gt;75.43,0,0)</f>
        <v>0</v>
      </c>
      <c r="I196" t="s">
        <v>14</v>
      </c>
      <c r="J196" t="s">
        <v>14</v>
      </c>
    </row>
    <row r="197" spans="1:10">
      <c r="A197" t="s">
        <v>322</v>
      </c>
      <c r="B197" t="s">
        <v>301</v>
      </c>
      <c r="C197" t="s">
        <v>320</v>
      </c>
      <c r="D197" s="1">
        <v>19.41</v>
      </c>
      <c r="E197" s="2">
        <v>4.2</v>
      </c>
      <c r="F197" s="2">
        <v>81.52</v>
      </c>
      <c r="G197" t="s">
        <v>303</v>
      </c>
      <c r="H197">
        <f ca="1">IF(81.52&lt;&gt;81.52,0,0)</f>
        <v>0</v>
      </c>
      <c r="I197" t="s">
        <v>14</v>
      </c>
      <c r="J197" t="s">
        <v>14</v>
      </c>
    </row>
    <row r="198" spans="1:10">
      <c r="A198" t="s">
        <v>323</v>
      </c>
      <c r="B198" t="s">
        <v>301</v>
      </c>
      <c r="C198" t="s">
        <v>324</v>
      </c>
      <c r="D198" s="1">
        <v>18.1</v>
      </c>
      <c r="E198" s="2">
        <v>9.05</v>
      </c>
      <c r="F198" s="2">
        <v>163.81</v>
      </c>
      <c r="G198" t="s">
        <v>303</v>
      </c>
      <c r="H198">
        <f ca="1">IF(163.81&lt;&gt;163.81,0,0)</f>
        <v>0</v>
      </c>
      <c r="I198" t="s">
        <v>14</v>
      </c>
      <c r="J198" t="s">
        <v>14</v>
      </c>
    </row>
    <row r="199" spans="1:10">
      <c r="A199" t="s">
        <v>325</v>
      </c>
      <c r="B199" t="s">
        <v>301</v>
      </c>
      <c r="C199" t="s">
        <v>326</v>
      </c>
      <c r="D199" s="1">
        <v>20.21</v>
      </c>
      <c r="E199" s="2">
        <v>3.5</v>
      </c>
      <c r="F199" s="2">
        <v>70.74</v>
      </c>
      <c r="G199" t="s">
        <v>303</v>
      </c>
      <c r="H199">
        <f ca="1">IF(70.74&lt;&gt;70.74,0,0)</f>
        <v>0</v>
      </c>
      <c r="I199" t="s">
        <v>14</v>
      </c>
      <c r="J199" t="s">
        <v>14</v>
      </c>
    </row>
    <row r="200" spans="1:10">
      <c r="A200" t="s">
        <v>327</v>
      </c>
      <c r="B200" t="s">
        <v>301</v>
      </c>
      <c r="C200" t="s">
        <v>326</v>
      </c>
      <c r="D200" s="1">
        <v>18.08</v>
      </c>
      <c r="E200" s="2">
        <v>3.5</v>
      </c>
      <c r="F200" s="2">
        <v>63.28</v>
      </c>
      <c r="G200" t="s">
        <v>303</v>
      </c>
      <c r="H200">
        <f ca="1">IF(63.28&lt;&gt;63.28,0,0)</f>
        <v>0</v>
      </c>
      <c r="I200" t="s">
        <v>14</v>
      </c>
      <c r="J200" t="s">
        <v>14</v>
      </c>
    </row>
    <row r="201" spans="1:10">
      <c r="A201" t="s">
        <v>328</v>
      </c>
      <c r="B201" t="s">
        <v>301</v>
      </c>
      <c r="C201" t="s">
        <v>311</v>
      </c>
      <c r="D201" s="1">
        <v>18.1</v>
      </c>
      <c r="E201" s="2">
        <v>3.5</v>
      </c>
      <c r="F201" s="2">
        <v>63.35</v>
      </c>
      <c r="G201" t="s">
        <v>303</v>
      </c>
      <c r="H201">
        <f ca="1">IF(63.35&lt;&gt;63.35,0,0)</f>
        <v>0</v>
      </c>
      <c r="I201" t="s">
        <v>14</v>
      </c>
      <c r="J201" t="s">
        <v>14</v>
      </c>
    </row>
    <row r="202" spans="1:10">
      <c r="A202" t="s">
        <v>329</v>
      </c>
      <c r="B202" t="s">
        <v>301</v>
      </c>
      <c r="C202" t="s">
        <v>305</v>
      </c>
      <c r="D202" s="1">
        <v>18.09</v>
      </c>
      <c r="E202" s="2">
        <v>5.45</v>
      </c>
      <c r="F202" s="2">
        <v>98.59</v>
      </c>
      <c r="G202" t="s">
        <v>303</v>
      </c>
      <c r="H202">
        <f ca="1">IF(98.59&lt;&gt;98.59,0,0)</f>
        <v>0</v>
      </c>
      <c r="I202" t="s">
        <v>14</v>
      </c>
      <c r="J202" t="s">
        <v>14</v>
      </c>
    </row>
    <row r="203" spans="1:10">
      <c r="A203" t="s">
        <v>330</v>
      </c>
      <c r="B203" t="s">
        <v>301</v>
      </c>
      <c r="C203" t="s">
        <v>307</v>
      </c>
      <c r="D203" s="1">
        <v>18.07</v>
      </c>
      <c r="E203" s="2">
        <v>3.5</v>
      </c>
      <c r="F203" s="2">
        <v>63.25</v>
      </c>
      <c r="G203" t="s">
        <v>303</v>
      </c>
      <c r="H203">
        <f ca="1">IF(63.25&lt;&gt;63.24,0.00999999999999801,0)</f>
        <v>0</v>
      </c>
      <c r="I203" t="s">
        <v>14</v>
      </c>
      <c r="J203" t="s">
        <v>14</v>
      </c>
    </row>
    <row r="204" spans="1:10">
      <c r="A204" t="s">
        <v>331</v>
      </c>
      <c r="B204" t="s">
        <v>301</v>
      </c>
      <c r="C204" t="s">
        <v>302</v>
      </c>
      <c r="D204" s="1">
        <v>18.1</v>
      </c>
      <c r="E204" s="2">
        <v>4.2</v>
      </c>
      <c r="F204" s="2">
        <v>76.02</v>
      </c>
      <c r="G204" t="s">
        <v>303</v>
      </c>
      <c r="H204">
        <f ca="1">IF(76.02&lt;&gt;76.02,0,0)</f>
        <v>0</v>
      </c>
      <c r="I204" t="s">
        <v>14</v>
      </c>
      <c r="J204" t="s">
        <v>14</v>
      </c>
    </row>
    <row r="205" spans="1:10">
      <c r="A205" t="s">
        <v>332</v>
      </c>
      <c r="B205" t="s">
        <v>301</v>
      </c>
      <c r="C205" t="s">
        <v>333</v>
      </c>
      <c r="D205" s="1">
        <v>18.08</v>
      </c>
      <c r="E205" s="2">
        <v>4.95</v>
      </c>
      <c r="F205" s="2">
        <v>89.5</v>
      </c>
      <c r="G205" t="s">
        <v>303</v>
      </c>
      <c r="H205">
        <f ca="1">IF(89.5&lt;&gt;89.5,0,0)</f>
        <v>0</v>
      </c>
      <c r="I205" t="s">
        <v>14</v>
      </c>
      <c r="J205" t="s">
        <v>14</v>
      </c>
    </row>
    <row r="206" spans="1:10">
      <c r="A206" t="s">
        <v>334</v>
      </c>
      <c r="B206" t="s">
        <v>301</v>
      </c>
      <c r="C206" t="s">
        <v>335</v>
      </c>
      <c r="D206" s="1">
        <v>18.08</v>
      </c>
      <c r="E206" s="2">
        <v>5.95</v>
      </c>
      <c r="F206" s="2">
        <v>107.58</v>
      </c>
      <c r="G206" t="s">
        <v>303</v>
      </c>
      <c r="H206">
        <f ca="1">IF(107.58&lt;&gt;107.58,0,0)</f>
        <v>0</v>
      </c>
      <c r="I206" t="s">
        <v>14</v>
      </c>
      <c r="J206" t="s">
        <v>14</v>
      </c>
    </row>
    <row r="207" spans="1:10">
      <c r="A207" t="s">
        <v>336</v>
      </c>
      <c r="B207" t="s">
        <v>301</v>
      </c>
      <c r="C207" t="s">
        <v>302</v>
      </c>
      <c r="D207" s="1">
        <v>18.08</v>
      </c>
      <c r="E207" s="2">
        <v>4.2</v>
      </c>
      <c r="F207" s="2">
        <v>75.94</v>
      </c>
      <c r="G207" t="s">
        <v>303</v>
      </c>
      <c r="H207">
        <f ca="1">IF(75.94&lt;&gt;75.94,0,0)</f>
        <v>0</v>
      </c>
      <c r="I207" t="s">
        <v>14</v>
      </c>
      <c r="J207" t="s">
        <v>14</v>
      </c>
    </row>
    <row r="208" spans="1:10">
      <c r="A208" t="s">
        <v>337</v>
      </c>
      <c r="B208" t="s">
        <v>301</v>
      </c>
      <c r="C208" t="s">
        <v>313</v>
      </c>
      <c r="D208" s="1">
        <v>19.9</v>
      </c>
      <c r="E208" s="2">
        <v>4.2</v>
      </c>
      <c r="F208" s="2">
        <v>83.58</v>
      </c>
      <c r="G208" t="s">
        <v>303</v>
      </c>
      <c r="H208">
        <f ca="1">IF(83.58&lt;&gt;83.58,0,0)</f>
        <v>0</v>
      </c>
      <c r="I208" t="s">
        <v>14</v>
      </c>
      <c r="J208" t="s">
        <v>14</v>
      </c>
    </row>
    <row r="209" spans="1:10">
      <c r="A209" t="s">
        <v>338</v>
      </c>
      <c r="B209" t="s">
        <v>301</v>
      </c>
      <c r="C209" t="s">
        <v>339</v>
      </c>
      <c r="D209" s="1">
        <v>18.08</v>
      </c>
      <c r="E209" s="2">
        <v>4.2</v>
      </c>
      <c r="F209" s="2">
        <v>75.94</v>
      </c>
      <c r="G209" t="s">
        <v>303</v>
      </c>
      <c r="H209">
        <f ca="1">IF(75.94&lt;&gt;75.94,0,0)</f>
        <v>0</v>
      </c>
      <c r="I209" t="s">
        <v>14</v>
      </c>
      <c r="J209" t="s">
        <v>14</v>
      </c>
    </row>
    <row r="210" spans="1:10">
      <c r="A210" t="s">
        <v>340</v>
      </c>
      <c r="B210" t="s">
        <v>301</v>
      </c>
      <c r="C210" t="s">
        <v>341</v>
      </c>
      <c r="D210" s="1">
        <v>18.07</v>
      </c>
      <c r="E210" s="2">
        <v>4.2</v>
      </c>
      <c r="F210" s="2">
        <v>75.89</v>
      </c>
      <c r="G210" t="s">
        <v>303</v>
      </c>
      <c r="H210">
        <f ca="1">IF(75.89&lt;&gt;75.89,0,0)</f>
        <v>0</v>
      </c>
      <c r="I210" t="s">
        <v>14</v>
      </c>
      <c r="J210" t="s">
        <v>14</v>
      </c>
    </row>
    <row r="211" spans="1:10">
      <c r="A211" t="s">
        <v>342</v>
      </c>
      <c r="B211" t="s">
        <v>301</v>
      </c>
      <c r="C211" t="s">
        <v>326</v>
      </c>
      <c r="D211" s="1">
        <v>18.09</v>
      </c>
      <c r="E211" s="2">
        <v>3.5</v>
      </c>
      <c r="F211" s="2">
        <v>63.32</v>
      </c>
      <c r="G211" t="s">
        <v>303</v>
      </c>
      <c r="H211">
        <f ca="1">IF(63.32&lt;&gt;63.32,0,0)</f>
        <v>0</v>
      </c>
      <c r="I211" t="s">
        <v>14</v>
      </c>
      <c r="J211" t="s">
        <v>14</v>
      </c>
    </row>
    <row r="212" spans="1:10">
      <c r="A212" t="s">
        <v>343</v>
      </c>
      <c r="B212" t="s">
        <v>301</v>
      </c>
      <c r="C212" t="s">
        <v>305</v>
      </c>
      <c r="D212" s="1">
        <v>18.74</v>
      </c>
      <c r="E212" s="2">
        <v>5.45</v>
      </c>
      <c r="F212" s="2">
        <v>102.13</v>
      </c>
      <c r="G212" t="s">
        <v>303</v>
      </c>
      <c r="H212">
        <f ca="1">IF(102.13&lt;&gt;102.13,0,0)</f>
        <v>0</v>
      </c>
      <c r="I212" t="s">
        <v>14</v>
      </c>
      <c r="J212" t="s">
        <v>14</v>
      </c>
    </row>
    <row r="213" spans="1:10">
      <c r="A213" t="s">
        <v>344</v>
      </c>
      <c r="B213" t="s">
        <v>301</v>
      </c>
      <c r="C213" t="s">
        <v>302</v>
      </c>
      <c r="D213" s="1">
        <v>18.14</v>
      </c>
      <c r="E213" s="2">
        <v>4.2</v>
      </c>
      <c r="F213" s="2">
        <v>76.19</v>
      </c>
      <c r="G213" t="s">
        <v>303</v>
      </c>
      <c r="H213">
        <f ca="1">IF(76.19&lt;&gt;76.19,0,0)</f>
        <v>0</v>
      </c>
      <c r="I213" t="s">
        <v>14</v>
      </c>
      <c r="J213" t="s">
        <v>14</v>
      </c>
    </row>
    <row r="214" spans="1:10">
      <c r="A214" t="s">
        <v>345</v>
      </c>
      <c r="B214" t="s">
        <v>301</v>
      </c>
      <c r="C214" t="s">
        <v>313</v>
      </c>
      <c r="D214" s="1">
        <v>18.08</v>
      </c>
      <c r="E214" s="2">
        <v>4.2</v>
      </c>
      <c r="F214" s="2">
        <v>75.94</v>
      </c>
      <c r="G214" t="s">
        <v>303</v>
      </c>
      <c r="H214">
        <f ca="1">IF(75.94&lt;&gt;75.94,0,0)</f>
        <v>0</v>
      </c>
      <c r="I214" t="s">
        <v>14</v>
      </c>
      <c r="J214" t="s">
        <v>14</v>
      </c>
    </row>
    <row r="215" spans="1:10">
      <c r="A215" t="s">
        <v>346</v>
      </c>
      <c r="B215" t="s">
        <v>301</v>
      </c>
      <c r="C215" t="s">
        <v>309</v>
      </c>
      <c r="D215" s="1">
        <v>18.08</v>
      </c>
      <c r="E215" s="2">
        <v>4.55</v>
      </c>
      <c r="F215" s="2">
        <v>82.26</v>
      </c>
      <c r="G215" t="s">
        <v>303</v>
      </c>
      <c r="H215">
        <f ca="1">IF(82.26&lt;&gt;82.26,0,0)</f>
        <v>0</v>
      </c>
      <c r="I215" t="s">
        <v>14</v>
      </c>
      <c r="J215" t="s">
        <v>14</v>
      </c>
    </row>
    <row r="216" spans="1:10">
      <c r="A216" t="s">
        <v>347</v>
      </c>
      <c r="B216" t="s">
        <v>301</v>
      </c>
      <c r="C216" t="s">
        <v>348</v>
      </c>
      <c r="D216" s="1">
        <v>19.25</v>
      </c>
      <c r="E216" s="2">
        <v>5.95</v>
      </c>
      <c r="F216" s="2">
        <v>114.54</v>
      </c>
      <c r="G216" t="s">
        <v>303</v>
      </c>
      <c r="H216">
        <f ca="1">IF(114.54&lt;&gt;114.54,0,0)</f>
        <v>0</v>
      </c>
      <c r="I216" t="s">
        <v>14</v>
      </c>
      <c r="J216" t="s">
        <v>14</v>
      </c>
    </row>
    <row r="217" spans="1:10">
      <c r="A217" t="s">
        <v>349</v>
      </c>
      <c r="B217" t="s">
        <v>350</v>
      </c>
      <c r="C217" t="s">
        <v>313</v>
      </c>
      <c r="D217" s="1">
        <v>20.48</v>
      </c>
      <c r="E217" s="2">
        <v>4.2</v>
      </c>
      <c r="F217" s="2">
        <v>86.02</v>
      </c>
      <c r="G217" t="s">
        <v>351</v>
      </c>
      <c r="H217">
        <f ca="1">IF(86.02&lt;&gt;86.02,0,0)</f>
        <v>0</v>
      </c>
      <c r="I217" t="s">
        <v>14</v>
      </c>
      <c r="J217" t="s">
        <v>14</v>
      </c>
    </row>
    <row r="218" spans="1:10">
      <c r="A218" t="s">
        <v>352</v>
      </c>
      <c r="B218" t="s">
        <v>350</v>
      </c>
      <c r="C218" t="s">
        <v>320</v>
      </c>
      <c r="D218" s="1">
        <v>20.57</v>
      </c>
      <c r="E218" s="2">
        <v>4.2</v>
      </c>
      <c r="F218" s="2">
        <v>86.39</v>
      </c>
      <c r="G218" t="s">
        <v>351</v>
      </c>
      <c r="H218">
        <f ca="1">IF(86.39&lt;&gt;86.39,0,0)</f>
        <v>0</v>
      </c>
      <c r="I218" t="s">
        <v>14</v>
      </c>
      <c r="J218" t="s">
        <v>14</v>
      </c>
    </row>
    <row r="219" spans="1:10">
      <c r="A219" t="s">
        <v>353</v>
      </c>
      <c r="B219" t="s">
        <v>350</v>
      </c>
      <c r="C219" t="s">
        <v>305</v>
      </c>
      <c r="D219" s="1">
        <v>20.48</v>
      </c>
      <c r="E219" s="2">
        <v>5.45</v>
      </c>
      <c r="F219" s="2">
        <v>111.62</v>
      </c>
      <c r="G219" t="s">
        <v>351</v>
      </c>
      <c r="H219">
        <f ca="1">IF(111.62&lt;&gt;111.62,0,0)</f>
        <v>0</v>
      </c>
      <c r="I219" t="s">
        <v>14</v>
      </c>
      <c r="J219" t="s">
        <v>14</v>
      </c>
    </row>
    <row r="220" spans="1:10">
      <c r="A220" t="s">
        <v>354</v>
      </c>
      <c r="B220" t="s">
        <v>350</v>
      </c>
      <c r="C220" t="s">
        <v>326</v>
      </c>
      <c r="D220" s="1">
        <v>20.45</v>
      </c>
      <c r="E220" s="2">
        <v>3.5</v>
      </c>
      <c r="F220" s="2">
        <v>71.58</v>
      </c>
      <c r="G220" t="s">
        <v>351</v>
      </c>
      <c r="H220">
        <f ca="1">IF(71.58&lt;&gt;71.58,0,0)</f>
        <v>0</v>
      </c>
      <c r="I220" t="s">
        <v>14</v>
      </c>
      <c r="J220" t="s">
        <v>14</v>
      </c>
    </row>
    <row r="221" spans="1:10">
      <c r="A221" t="s">
        <v>355</v>
      </c>
      <c r="B221" t="s">
        <v>350</v>
      </c>
      <c r="C221" t="s">
        <v>320</v>
      </c>
      <c r="D221" s="1">
        <v>20.47</v>
      </c>
      <c r="E221" s="2">
        <v>4.2</v>
      </c>
      <c r="F221" s="2">
        <v>85.97</v>
      </c>
      <c r="G221" t="s">
        <v>351</v>
      </c>
      <c r="H221">
        <f ca="1">IF(85.97&lt;&gt;85.97,0,0)</f>
        <v>0</v>
      </c>
      <c r="I221" t="s">
        <v>14</v>
      </c>
      <c r="J221" t="s">
        <v>14</v>
      </c>
    </row>
    <row r="222" spans="1:10">
      <c r="A222" t="s">
        <v>356</v>
      </c>
      <c r="B222" t="s">
        <v>350</v>
      </c>
      <c r="C222" t="s">
        <v>307</v>
      </c>
      <c r="D222" s="1">
        <v>20.47</v>
      </c>
      <c r="E222" s="2">
        <v>3.5</v>
      </c>
      <c r="F222" s="2">
        <v>71.65</v>
      </c>
      <c r="G222" t="s">
        <v>351</v>
      </c>
      <c r="H222">
        <f ca="1">IF(71.65&lt;&gt;71.64,0.010000000000005116,0)</f>
        <v>0</v>
      </c>
      <c r="I222" t="s">
        <v>14</v>
      </c>
      <c r="J222" t="s">
        <v>14</v>
      </c>
    </row>
    <row r="223" spans="1:10">
      <c r="A223" t="s">
        <v>357</v>
      </c>
      <c r="B223" t="s">
        <v>350</v>
      </c>
      <c r="C223" t="s">
        <v>313</v>
      </c>
      <c r="D223" s="1">
        <v>20.47</v>
      </c>
      <c r="E223" s="2">
        <v>4.2</v>
      </c>
      <c r="F223" s="2">
        <v>85.97</v>
      </c>
      <c r="G223" t="s">
        <v>351</v>
      </c>
      <c r="H223">
        <f ca="1">IF(85.97&lt;&gt;85.97,0,0)</f>
        <v>0</v>
      </c>
      <c r="I223" t="s">
        <v>14</v>
      </c>
      <c r="J223" t="s">
        <v>14</v>
      </c>
    </row>
    <row r="224" spans="1:10">
      <c r="A224" t="s">
        <v>358</v>
      </c>
      <c r="B224" t="s">
        <v>350</v>
      </c>
      <c r="C224" t="s">
        <v>320</v>
      </c>
      <c r="D224" s="1">
        <v>20.44</v>
      </c>
      <c r="E224" s="2">
        <v>4.2</v>
      </c>
      <c r="F224" s="2">
        <v>85.85</v>
      </c>
      <c r="G224" t="s">
        <v>351</v>
      </c>
      <c r="H224">
        <f ca="1">IF(85.85&lt;&gt;85.85,0,0)</f>
        <v>0</v>
      </c>
      <c r="I224" t="s">
        <v>14</v>
      </c>
      <c r="J224" t="s">
        <v>14</v>
      </c>
    </row>
    <row r="225" spans="1:10">
      <c r="A225" t="s">
        <v>359</v>
      </c>
      <c r="B225" t="s">
        <v>350</v>
      </c>
      <c r="C225" t="s">
        <v>307</v>
      </c>
      <c r="D225" s="1">
        <v>20.42</v>
      </c>
      <c r="E225" s="2">
        <v>3.5</v>
      </c>
      <c r="F225" s="2">
        <v>71.47</v>
      </c>
      <c r="G225" t="s">
        <v>351</v>
      </c>
      <c r="H225">
        <f ca="1">IF(71.47&lt;&gt;71.47,0,0)</f>
        <v>0</v>
      </c>
      <c r="I225" t="s">
        <v>14</v>
      </c>
      <c r="J225" t="s">
        <v>14</v>
      </c>
    </row>
    <row r="226" spans="1:10">
      <c r="A226" t="s">
        <v>360</v>
      </c>
      <c r="B226" t="s">
        <v>350</v>
      </c>
      <c r="C226" t="s">
        <v>333</v>
      </c>
      <c r="D226" s="1">
        <v>20.38</v>
      </c>
      <c r="E226" s="2">
        <v>4.95</v>
      </c>
      <c r="F226" s="2">
        <v>100.88</v>
      </c>
      <c r="G226" t="s">
        <v>351</v>
      </c>
      <c r="H226">
        <f ca="1">IF(100.88&lt;&gt;100.88,0,0)</f>
        <v>0</v>
      </c>
      <c r="I226" t="s">
        <v>14</v>
      </c>
      <c r="J226" t="s">
        <v>14</v>
      </c>
    </row>
    <row r="227" spans="1:10">
      <c r="A227" t="s">
        <v>361</v>
      </c>
      <c r="B227" t="s">
        <v>350</v>
      </c>
      <c r="C227" t="s">
        <v>309</v>
      </c>
      <c r="D227" s="1">
        <v>20.44</v>
      </c>
      <c r="E227" s="2">
        <v>4.55</v>
      </c>
      <c r="F227" s="2">
        <v>93</v>
      </c>
      <c r="G227" t="s">
        <v>351</v>
      </c>
      <c r="H227">
        <f ca="1">IF(93&lt;&gt;93,0,0)</f>
        <v>0</v>
      </c>
      <c r="I227" t="s">
        <v>14</v>
      </c>
      <c r="J227" t="s">
        <v>14</v>
      </c>
    </row>
    <row r="228" spans="1:10">
      <c r="A228" t="s">
        <v>362</v>
      </c>
      <c r="B228" t="s">
        <v>363</v>
      </c>
      <c r="C228" t="s">
        <v>313</v>
      </c>
      <c r="D228" s="1">
        <v>21.12</v>
      </c>
      <c r="E228" s="2">
        <v>4.2</v>
      </c>
      <c r="F228" s="2">
        <v>88.7</v>
      </c>
      <c r="G228" t="s">
        <v>364</v>
      </c>
      <c r="H228">
        <f ca="1">IF(88.7&lt;&gt;88.7,0,0)</f>
        <v>0</v>
      </c>
      <c r="I228" t="s">
        <v>14</v>
      </c>
      <c r="J228" t="s">
        <v>14</v>
      </c>
    </row>
    <row r="229" spans="1:10">
      <c r="A229" t="s">
        <v>365</v>
      </c>
      <c r="B229" t="s">
        <v>363</v>
      </c>
      <c r="C229" t="s">
        <v>320</v>
      </c>
      <c r="D229" s="1">
        <v>21.05</v>
      </c>
      <c r="E229" s="2">
        <v>4.2</v>
      </c>
      <c r="F229" s="2">
        <v>88.41</v>
      </c>
      <c r="G229" t="s">
        <v>364</v>
      </c>
      <c r="H229">
        <f ca="1">IF(88.41&lt;&gt;88.41,0,0)</f>
        <v>0</v>
      </c>
      <c r="I229" t="s">
        <v>14</v>
      </c>
      <c r="J229" t="s">
        <v>14</v>
      </c>
    </row>
    <row r="230" spans="1:10">
      <c r="A230" t="s">
        <v>366</v>
      </c>
      <c r="B230" t="s">
        <v>363</v>
      </c>
      <c r="C230" t="s">
        <v>305</v>
      </c>
      <c r="D230" s="1">
        <v>21.04</v>
      </c>
      <c r="E230" s="2">
        <v>5.45</v>
      </c>
      <c r="F230" s="2">
        <v>114.67</v>
      </c>
      <c r="G230" t="s">
        <v>364</v>
      </c>
      <c r="H230">
        <f ca="1">IF(114.67&lt;&gt;114.67,0,0)</f>
        <v>0</v>
      </c>
      <c r="I230" t="s">
        <v>14</v>
      </c>
      <c r="J230" t="s">
        <v>14</v>
      </c>
    </row>
    <row r="231" spans="1:10">
      <c r="A231" t="s">
        <v>367</v>
      </c>
      <c r="B231" t="s">
        <v>363</v>
      </c>
      <c r="C231" t="s">
        <v>326</v>
      </c>
      <c r="D231" s="1">
        <v>21.05</v>
      </c>
      <c r="E231" s="2">
        <v>3.5</v>
      </c>
      <c r="F231" s="2">
        <v>73.68</v>
      </c>
      <c r="G231" t="s">
        <v>364</v>
      </c>
      <c r="H231">
        <f ca="1">IF(73.68&lt;&gt;73.68,0,0)</f>
        <v>0</v>
      </c>
      <c r="I231" t="s">
        <v>14</v>
      </c>
      <c r="J231" t="s">
        <v>14</v>
      </c>
    </row>
    <row r="232" spans="1:10">
      <c r="A232" t="s">
        <v>368</v>
      </c>
      <c r="B232" t="s">
        <v>363</v>
      </c>
      <c r="C232" t="s">
        <v>320</v>
      </c>
      <c r="D232" s="1">
        <v>21.05</v>
      </c>
      <c r="E232" s="2">
        <v>4.2</v>
      </c>
      <c r="F232" s="2">
        <v>88.41</v>
      </c>
      <c r="G232" t="s">
        <v>364</v>
      </c>
      <c r="H232">
        <f ca="1">IF(88.41&lt;&gt;88.41,0,0)</f>
        <v>0</v>
      </c>
      <c r="I232" t="s">
        <v>14</v>
      </c>
      <c r="J232" t="s">
        <v>14</v>
      </c>
    </row>
    <row r="233" spans="1:10">
      <c r="A233" t="s">
        <v>369</v>
      </c>
      <c r="B233" t="s">
        <v>363</v>
      </c>
      <c r="C233" t="s">
        <v>307</v>
      </c>
      <c r="D233" s="1">
        <v>21.06</v>
      </c>
      <c r="E233" s="2">
        <v>3.5</v>
      </c>
      <c r="F233" s="2">
        <v>73.71</v>
      </c>
      <c r="G233" t="s">
        <v>364</v>
      </c>
      <c r="H233">
        <f ca="1">IF(73.71&lt;&gt;73.71,0,0)</f>
        <v>0</v>
      </c>
      <c r="I233" t="s">
        <v>14</v>
      </c>
      <c r="J233" t="s">
        <v>14</v>
      </c>
    </row>
    <row r="234" spans="1:10">
      <c r="A234" t="s">
        <v>370</v>
      </c>
      <c r="B234" t="s">
        <v>363</v>
      </c>
      <c r="C234" t="s">
        <v>313</v>
      </c>
      <c r="D234" s="1">
        <v>21.08</v>
      </c>
      <c r="E234" s="2">
        <v>4.2</v>
      </c>
      <c r="F234" s="2">
        <v>88.54</v>
      </c>
      <c r="G234" t="s">
        <v>364</v>
      </c>
      <c r="H234">
        <f ca="1">IF(88.54&lt;&gt;88.54,0,0)</f>
        <v>0</v>
      </c>
      <c r="I234" t="s">
        <v>14</v>
      </c>
      <c r="J234" t="s">
        <v>14</v>
      </c>
    </row>
    <row r="235" spans="1:10">
      <c r="A235" t="s">
        <v>371</v>
      </c>
      <c r="B235" t="s">
        <v>363</v>
      </c>
      <c r="C235" t="s">
        <v>320</v>
      </c>
      <c r="D235" s="1">
        <v>20.96</v>
      </c>
      <c r="E235" s="2">
        <v>4.2</v>
      </c>
      <c r="F235" s="2">
        <v>88.03</v>
      </c>
      <c r="G235" t="s">
        <v>364</v>
      </c>
      <c r="H235">
        <f ca="1">IF(88.03&lt;&gt;88.03,0,0)</f>
        <v>0</v>
      </c>
      <c r="I235" t="s">
        <v>14</v>
      </c>
      <c r="J235" t="s">
        <v>14</v>
      </c>
    </row>
    <row r="236" spans="1:10">
      <c r="A236" t="s">
        <v>372</v>
      </c>
      <c r="B236" t="s">
        <v>363</v>
      </c>
      <c r="C236" t="s">
        <v>307</v>
      </c>
      <c r="D236" s="1">
        <v>20.96</v>
      </c>
      <c r="E236" s="2">
        <v>3.5</v>
      </c>
      <c r="F236" s="2">
        <v>73.36</v>
      </c>
      <c r="G236" t="s">
        <v>364</v>
      </c>
      <c r="H236">
        <f ca="1">IF(73.36&lt;&gt;73.36,0,0)</f>
        <v>0</v>
      </c>
      <c r="I236" t="s">
        <v>14</v>
      </c>
      <c r="J236" t="s">
        <v>14</v>
      </c>
    </row>
    <row r="237" spans="1:10">
      <c r="A237" t="s">
        <v>373</v>
      </c>
      <c r="B237" t="s">
        <v>363</v>
      </c>
      <c r="C237" t="s">
        <v>333</v>
      </c>
      <c r="D237" s="1">
        <v>21.05</v>
      </c>
      <c r="E237" s="2">
        <v>4.95</v>
      </c>
      <c r="F237" s="2">
        <v>104.2</v>
      </c>
      <c r="G237" t="s">
        <v>364</v>
      </c>
      <c r="H237">
        <f ca="1">IF(104.2&lt;&gt;104.2,0,0)</f>
        <v>0</v>
      </c>
      <c r="I237" t="s">
        <v>14</v>
      </c>
      <c r="J237" t="s">
        <v>14</v>
      </c>
    </row>
    <row r="238" spans="1:10">
      <c r="A238" t="s">
        <v>374</v>
      </c>
      <c r="B238" t="s">
        <v>363</v>
      </c>
      <c r="C238" t="s">
        <v>307</v>
      </c>
      <c r="D238" s="1">
        <v>20.97</v>
      </c>
      <c r="E238" s="2">
        <v>3.5</v>
      </c>
      <c r="F238" s="2">
        <v>73.4</v>
      </c>
      <c r="G238" t="s">
        <v>364</v>
      </c>
      <c r="H238">
        <f ca="1">IF(73.4&lt;&gt;73.4,0,0)</f>
        <v>0</v>
      </c>
      <c r="I238" t="s">
        <v>14</v>
      </c>
      <c r="J238" t="s">
        <v>14</v>
      </c>
    </row>
    <row r="239" spans="1:10">
      <c r="A239" t="s">
        <v>375</v>
      </c>
      <c r="B239" t="s">
        <v>363</v>
      </c>
      <c r="C239" t="s">
        <v>309</v>
      </c>
      <c r="D239" s="1">
        <v>21.12</v>
      </c>
      <c r="E239" s="2">
        <v>4.55</v>
      </c>
      <c r="F239" s="2">
        <v>96.1</v>
      </c>
      <c r="G239" t="s">
        <v>364</v>
      </c>
      <c r="H239">
        <f ca="1">IF(96.1&lt;&gt;96.1,0,0)</f>
        <v>0</v>
      </c>
      <c r="I239" t="s">
        <v>14</v>
      </c>
      <c r="J239" t="s">
        <v>14</v>
      </c>
    </row>
    <row r="240" spans="1:10">
      <c r="A240" t="s">
        <v>376</v>
      </c>
      <c r="B240" t="s">
        <v>377</v>
      </c>
      <c r="C240" t="s">
        <v>64</v>
      </c>
      <c r="D240" s="1">
        <v>16.64</v>
      </c>
      <c r="E240" s="2">
        <v>13</v>
      </c>
      <c r="F240" s="2">
        <v>216.32</v>
      </c>
      <c r="G240" t="s">
        <v>378</v>
      </c>
      <c r="H240">
        <f ca="1">IF(216.32&lt;&gt;216.32,0,0)</f>
        <v>0</v>
      </c>
      <c r="I240" t="s">
        <v>14</v>
      </c>
      <c r="J240" t="s">
        <v>14</v>
      </c>
    </row>
    <row r="241" spans="1:10">
      <c r="A241" t="s">
        <v>379</v>
      </c>
      <c r="B241" t="s">
        <v>380</v>
      </c>
      <c r="C241" t="s">
        <v>269</v>
      </c>
      <c r="D241" s="1">
        <v>20.95</v>
      </c>
      <c r="E241" s="2">
        <v>4.3</v>
      </c>
      <c r="F241" s="2">
        <v>90.09</v>
      </c>
      <c r="G241" t="s">
        <v>381</v>
      </c>
      <c r="H241">
        <f ca="1">IF(90.09&lt;&gt;90.08,0.010000000000005116,0)</f>
        <v>0</v>
      </c>
      <c r="I241" t="s">
        <v>14</v>
      </c>
      <c r="J241" t="s">
        <v>14</v>
      </c>
    </row>
    <row r="242" spans="1:10">
      <c r="A242" t="s">
        <v>382</v>
      </c>
      <c r="B242" t="s">
        <v>380</v>
      </c>
      <c r="C242" t="s">
        <v>219</v>
      </c>
      <c r="D242" s="1">
        <v>21.04</v>
      </c>
      <c r="E242" s="2">
        <v>3.35</v>
      </c>
      <c r="F242" s="2">
        <v>70.48</v>
      </c>
      <c r="G242" t="s">
        <v>381</v>
      </c>
      <c r="H242">
        <f ca="1">IF(70.48&lt;&gt;70.48,0,0)</f>
        <v>0</v>
      </c>
      <c r="I242" t="s">
        <v>14</v>
      </c>
      <c r="J242" t="s">
        <v>14</v>
      </c>
    </row>
    <row r="243" spans="1:10">
      <c r="A243" t="s">
        <v>383</v>
      </c>
      <c r="B243" t="s">
        <v>380</v>
      </c>
      <c r="C243" t="s">
        <v>384</v>
      </c>
      <c r="D243" s="1">
        <v>20.99</v>
      </c>
      <c r="E243" s="2">
        <v>5.45</v>
      </c>
      <c r="F243" s="2">
        <v>114.4</v>
      </c>
      <c r="G243" t="s">
        <v>381</v>
      </c>
      <c r="H243">
        <f ca="1">IF(114.4&lt;&gt;114.4,0,0)</f>
        <v>0</v>
      </c>
      <c r="I243" t="s">
        <v>14</v>
      </c>
      <c r="J243" t="s">
        <v>14</v>
      </c>
    </row>
    <row r="244" spans="1:10">
      <c r="A244" t="s">
        <v>385</v>
      </c>
      <c r="B244" t="s">
        <v>380</v>
      </c>
      <c r="C244" t="s">
        <v>229</v>
      </c>
      <c r="D244" s="1">
        <v>20.94</v>
      </c>
      <c r="E244" s="2">
        <v>4.55</v>
      </c>
      <c r="F244" s="2">
        <v>95.28</v>
      </c>
      <c r="G244" t="s">
        <v>381</v>
      </c>
      <c r="H244">
        <f ca="1">IF(95.28&lt;&gt;95.28,0,0)</f>
        <v>0</v>
      </c>
      <c r="I244" t="s">
        <v>14</v>
      </c>
      <c r="J244" t="s">
        <v>14</v>
      </c>
    </row>
    <row r="245" spans="1:10">
      <c r="A245" t="s">
        <v>386</v>
      </c>
      <c r="B245" t="s">
        <v>380</v>
      </c>
      <c r="C245" t="s">
        <v>219</v>
      </c>
      <c r="D245" s="1">
        <v>20.95</v>
      </c>
      <c r="E245" s="2">
        <v>3.35</v>
      </c>
      <c r="F245" s="2">
        <v>70.18</v>
      </c>
      <c r="G245" t="s">
        <v>381</v>
      </c>
      <c r="H245">
        <f ca="1">IF(70.18&lt;&gt;70.18,0,0)</f>
        <v>0</v>
      </c>
      <c r="I245" t="s">
        <v>14</v>
      </c>
      <c r="J245" t="s">
        <v>14</v>
      </c>
    </row>
    <row r="246" spans="1:10">
      <c r="A246" t="s">
        <v>387</v>
      </c>
      <c r="B246" t="s">
        <v>380</v>
      </c>
      <c r="C246" t="s">
        <v>235</v>
      </c>
      <c r="D246" s="1">
        <v>21.04</v>
      </c>
      <c r="E246" s="2">
        <v>6.2</v>
      </c>
      <c r="F246" s="2">
        <v>130.45</v>
      </c>
      <c r="G246" t="s">
        <v>381</v>
      </c>
      <c r="H246">
        <f ca="1">IF(130.45&lt;&gt;130.45,0,0)</f>
        <v>0</v>
      </c>
      <c r="I246" t="s">
        <v>14</v>
      </c>
      <c r="J246" t="s">
        <v>14</v>
      </c>
    </row>
    <row r="247" spans="1:10">
      <c r="A247" t="s">
        <v>388</v>
      </c>
      <c r="B247" t="s">
        <v>380</v>
      </c>
      <c r="C247" t="s">
        <v>389</v>
      </c>
      <c r="D247" s="1">
        <v>20.92</v>
      </c>
      <c r="E247" s="2">
        <v>4.2</v>
      </c>
      <c r="F247" s="2">
        <v>87.86</v>
      </c>
      <c r="G247" t="s">
        <v>381</v>
      </c>
      <c r="H247">
        <f ca="1">IF(87.86&lt;&gt;87.86,0,0)</f>
        <v>0</v>
      </c>
      <c r="I247" t="s">
        <v>14</v>
      </c>
      <c r="J247" t="s">
        <v>14</v>
      </c>
    </row>
    <row r="248" spans="1:10">
      <c r="A248" t="s">
        <v>390</v>
      </c>
      <c r="B248" t="s">
        <v>380</v>
      </c>
      <c r="C248" t="s">
        <v>235</v>
      </c>
      <c r="D248" s="1">
        <v>20.96</v>
      </c>
      <c r="E248" s="2">
        <v>6.2</v>
      </c>
      <c r="F248" s="2">
        <v>129.95</v>
      </c>
      <c r="G248" t="s">
        <v>381</v>
      </c>
      <c r="H248">
        <f ca="1">IF(129.95&lt;&gt;129.95,0,0)</f>
        <v>0</v>
      </c>
      <c r="I248" t="s">
        <v>14</v>
      </c>
      <c r="J248" t="s">
        <v>14</v>
      </c>
    </row>
    <row r="249" spans="1:10">
      <c r="A249" t="s">
        <v>391</v>
      </c>
      <c r="B249" t="s">
        <v>380</v>
      </c>
      <c r="C249" t="s">
        <v>204</v>
      </c>
      <c r="D249" s="1">
        <v>20.94</v>
      </c>
      <c r="E249" s="2">
        <v>4.4</v>
      </c>
      <c r="F249" s="2">
        <v>92.14</v>
      </c>
      <c r="G249" t="s">
        <v>381</v>
      </c>
      <c r="H249">
        <f ca="1">IF(92.14&lt;&gt;92.14,0,0)</f>
        <v>0</v>
      </c>
      <c r="I249" t="s">
        <v>14</v>
      </c>
      <c r="J249" t="s">
        <v>14</v>
      </c>
    </row>
    <row r="250" spans="1:10">
      <c r="A250" t="s">
        <v>392</v>
      </c>
      <c r="B250" t="s">
        <v>380</v>
      </c>
      <c r="C250" t="s">
        <v>235</v>
      </c>
      <c r="D250" s="1">
        <v>20.95</v>
      </c>
      <c r="E250" s="2">
        <v>6.2</v>
      </c>
      <c r="F250" s="2">
        <v>129.89</v>
      </c>
      <c r="G250" t="s">
        <v>381</v>
      </c>
      <c r="H250">
        <f ca="1">IF(129.89&lt;&gt;129.89,0,0)</f>
        <v>0</v>
      </c>
      <c r="I250" t="s">
        <v>14</v>
      </c>
      <c r="J250" t="s">
        <v>14</v>
      </c>
    </row>
    <row r="251" spans="1:10">
      <c r="A251" t="s">
        <v>393</v>
      </c>
      <c r="B251" t="s">
        <v>380</v>
      </c>
      <c r="C251" t="s">
        <v>215</v>
      </c>
      <c r="D251" s="1">
        <v>20.98</v>
      </c>
      <c r="E251" s="2">
        <v>6.2</v>
      </c>
      <c r="F251" s="2">
        <v>130.08</v>
      </c>
      <c r="G251" t="s">
        <v>381</v>
      </c>
      <c r="H251">
        <f ca="1">IF(130.08&lt;&gt;130.08,0,0)</f>
        <v>0</v>
      </c>
      <c r="I251" t="s">
        <v>14</v>
      </c>
      <c r="J251" t="s">
        <v>14</v>
      </c>
    </row>
    <row r="252" spans="1:10">
      <c r="A252" t="s">
        <v>394</v>
      </c>
      <c r="B252" t="s">
        <v>380</v>
      </c>
      <c r="C252" t="s">
        <v>224</v>
      </c>
      <c r="D252" s="1">
        <v>20.94</v>
      </c>
      <c r="E252" s="2">
        <v>4.55</v>
      </c>
      <c r="F252" s="2">
        <v>95.28</v>
      </c>
      <c r="G252" t="s">
        <v>381</v>
      </c>
      <c r="H252">
        <f ca="1">IF(95.28&lt;&gt;95.28,0,0)</f>
        <v>0</v>
      </c>
      <c r="I252" t="s">
        <v>14</v>
      </c>
      <c r="J252" t="s">
        <v>14</v>
      </c>
    </row>
    <row r="253" spans="1:10">
      <c r="A253" t="s">
        <v>395</v>
      </c>
      <c r="B253" t="s">
        <v>380</v>
      </c>
      <c r="C253" t="s">
        <v>221</v>
      </c>
      <c r="D253" s="1">
        <v>20.91</v>
      </c>
      <c r="E253" s="2">
        <v>4.4</v>
      </c>
      <c r="F253" s="2">
        <v>92</v>
      </c>
      <c r="G253" t="s">
        <v>381</v>
      </c>
      <c r="H253">
        <f ca="1">IF(92&lt;&gt;92,0,0)</f>
        <v>0</v>
      </c>
      <c r="I253" t="s">
        <v>14</v>
      </c>
      <c r="J253" t="s">
        <v>14</v>
      </c>
    </row>
    <row r="254" spans="1:10">
      <c r="A254" t="s">
        <v>396</v>
      </c>
      <c r="B254" t="s">
        <v>380</v>
      </c>
      <c r="C254" t="s">
        <v>215</v>
      </c>
      <c r="D254" s="1">
        <v>20.91</v>
      </c>
      <c r="E254" s="2">
        <v>6.2</v>
      </c>
      <c r="F254" s="2">
        <v>129.64</v>
      </c>
      <c r="G254" t="s">
        <v>381</v>
      </c>
      <c r="H254">
        <f ca="1">IF(129.64&lt;&gt;129.64,0,0)</f>
        <v>0</v>
      </c>
      <c r="I254" t="s">
        <v>14</v>
      </c>
      <c r="J254" t="s">
        <v>14</v>
      </c>
    </row>
    <row r="255" spans="1:10">
      <c r="A255" t="s">
        <v>397</v>
      </c>
      <c r="B255" t="s">
        <v>380</v>
      </c>
      <c r="C255" t="s">
        <v>398</v>
      </c>
      <c r="D255" s="1">
        <v>21</v>
      </c>
      <c r="E255" s="2">
        <v>6.2</v>
      </c>
      <c r="F255" s="2">
        <v>130.2</v>
      </c>
      <c r="G255" t="s">
        <v>381</v>
      </c>
      <c r="H255">
        <f ca="1">IF(130.2&lt;&gt;130.2,0,0)</f>
        <v>0</v>
      </c>
      <c r="I255" t="s">
        <v>14</v>
      </c>
      <c r="J255" t="s">
        <v>14</v>
      </c>
    </row>
    <row r="256" spans="1:10">
      <c r="A256" t="s">
        <v>399</v>
      </c>
      <c r="B256" t="s">
        <v>380</v>
      </c>
      <c r="C256" t="s">
        <v>204</v>
      </c>
      <c r="D256" s="1">
        <v>20.94</v>
      </c>
      <c r="E256" s="2">
        <v>4.4</v>
      </c>
      <c r="F256" s="2">
        <v>92.14</v>
      </c>
      <c r="G256" t="s">
        <v>381</v>
      </c>
      <c r="H256">
        <f ca="1">IF(92.14&lt;&gt;92.14,0,0)</f>
        <v>0</v>
      </c>
      <c r="I256" t="s">
        <v>14</v>
      </c>
      <c r="J256" t="s">
        <v>14</v>
      </c>
    </row>
    <row r="257" spans="1:10">
      <c r="A257" t="s">
        <v>400</v>
      </c>
      <c r="B257" t="s">
        <v>380</v>
      </c>
      <c r="C257" t="s">
        <v>398</v>
      </c>
      <c r="D257" s="1">
        <v>21.03</v>
      </c>
      <c r="E257" s="2">
        <v>6.2</v>
      </c>
      <c r="F257" s="2">
        <v>130.39</v>
      </c>
      <c r="G257" t="s">
        <v>381</v>
      </c>
      <c r="H257">
        <f ca="1">IF(130.39&lt;&gt;130.39,0,0)</f>
        <v>0</v>
      </c>
      <c r="I257" t="s">
        <v>14</v>
      </c>
      <c r="J257" t="s">
        <v>14</v>
      </c>
    </row>
    <row r="258" spans="1:10">
      <c r="A258" t="s">
        <v>401</v>
      </c>
      <c r="B258" t="s">
        <v>380</v>
      </c>
      <c r="C258" t="s">
        <v>235</v>
      </c>
      <c r="D258" s="1">
        <v>20.97</v>
      </c>
      <c r="E258" s="2">
        <v>6.2</v>
      </c>
      <c r="F258" s="2">
        <v>130.01</v>
      </c>
      <c r="G258" t="s">
        <v>381</v>
      </c>
      <c r="H258">
        <f ca="1">IF(130.01&lt;&gt;130.01,0,0)</f>
        <v>0</v>
      </c>
      <c r="I258" t="s">
        <v>14</v>
      </c>
      <c r="J258" t="s">
        <v>14</v>
      </c>
    </row>
    <row r="259" spans="1:10">
      <c r="A259" t="s">
        <v>402</v>
      </c>
      <c r="B259" t="s">
        <v>380</v>
      </c>
      <c r="C259" t="s">
        <v>217</v>
      </c>
      <c r="D259" s="1">
        <v>21.09</v>
      </c>
      <c r="E259" s="2">
        <v>6.4</v>
      </c>
      <c r="F259" s="2">
        <v>134.98</v>
      </c>
      <c r="G259" t="s">
        <v>381</v>
      </c>
      <c r="H259">
        <f ca="1">IF(134.98&lt;&gt;134.98,0,0)</f>
        <v>0</v>
      </c>
      <c r="I259" t="s">
        <v>14</v>
      </c>
      <c r="J259" t="s">
        <v>14</v>
      </c>
    </row>
    <row r="260" spans="1:10">
      <c r="A260" t="s">
        <v>403</v>
      </c>
      <c r="B260" t="s">
        <v>380</v>
      </c>
      <c r="C260" t="s">
        <v>219</v>
      </c>
      <c r="D260" s="1">
        <v>21.09</v>
      </c>
      <c r="E260" s="2">
        <v>3.35</v>
      </c>
      <c r="F260" s="2">
        <v>70.65</v>
      </c>
      <c r="G260" t="s">
        <v>381</v>
      </c>
      <c r="H260">
        <f ca="1">IF(70.65&lt;&gt;70.65,0,0)</f>
        <v>0</v>
      </c>
      <c r="I260" t="s">
        <v>14</v>
      </c>
      <c r="J260" t="s">
        <v>14</v>
      </c>
    </row>
    <row r="261" spans="1:10">
      <c r="A261" t="s">
        <v>404</v>
      </c>
      <c r="B261" t="s">
        <v>380</v>
      </c>
      <c r="C261" t="s">
        <v>281</v>
      </c>
      <c r="D261" s="1">
        <v>21.07</v>
      </c>
      <c r="E261" s="2">
        <v>4.95</v>
      </c>
      <c r="F261" s="2">
        <v>104.3</v>
      </c>
      <c r="G261" t="s">
        <v>381</v>
      </c>
      <c r="H261">
        <f ca="1">IF(104.3&lt;&gt;104.3,0,0)</f>
        <v>0</v>
      </c>
      <c r="I261" t="s">
        <v>14</v>
      </c>
      <c r="J261" t="s">
        <v>14</v>
      </c>
    </row>
    <row r="262" spans="1:10">
      <c r="A262" t="s">
        <v>405</v>
      </c>
      <c r="B262" t="s">
        <v>380</v>
      </c>
      <c r="C262" t="s">
        <v>406</v>
      </c>
      <c r="D262" s="1">
        <v>21.08</v>
      </c>
      <c r="E262" s="2">
        <v>4.4</v>
      </c>
      <c r="F262" s="2">
        <v>92.75</v>
      </c>
      <c r="G262" t="s">
        <v>381</v>
      </c>
      <c r="H262">
        <f ca="1">IF(92.75&lt;&gt;92.75,0,0)</f>
        <v>0</v>
      </c>
      <c r="I262" t="s">
        <v>14</v>
      </c>
      <c r="J262" t="s">
        <v>14</v>
      </c>
    </row>
    <row r="263" spans="1:10">
      <c r="A263" t="s">
        <v>407</v>
      </c>
      <c r="B263" t="s">
        <v>380</v>
      </c>
      <c r="C263" t="s">
        <v>384</v>
      </c>
      <c r="D263" s="1">
        <v>21.06</v>
      </c>
      <c r="E263" s="2">
        <v>5.45</v>
      </c>
      <c r="F263" s="2">
        <v>114.78</v>
      </c>
      <c r="G263" t="s">
        <v>381</v>
      </c>
      <c r="H263">
        <f ca="1">IF(114.78&lt;&gt;114.78,0,0)</f>
        <v>0</v>
      </c>
      <c r="I263" t="s">
        <v>14</v>
      </c>
      <c r="J263" t="s">
        <v>14</v>
      </c>
    </row>
    <row r="264" spans="1:10">
      <c r="A264" t="s">
        <v>408</v>
      </c>
      <c r="B264" t="s">
        <v>380</v>
      </c>
      <c r="C264" t="s">
        <v>248</v>
      </c>
      <c r="D264" s="1">
        <v>21.01</v>
      </c>
      <c r="E264" s="2">
        <v>5.95</v>
      </c>
      <c r="F264" s="2">
        <v>125.01</v>
      </c>
      <c r="G264" t="s">
        <v>381</v>
      </c>
      <c r="H264">
        <f ca="1">IF(125.01&lt;&gt;125.01,0,0)</f>
        <v>0</v>
      </c>
      <c r="I264" t="s">
        <v>14</v>
      </c>
      <c r="J264" t="s">
        <v>14</v>
      </c>
    </row>
    <row r="265" spans="1:10">
      <c r="A265" t="s">
        <v>409</v>
      </c>
      <c r="B265" t="s">
        <v>380</v>
      </c>
      <c r="C265" t="s">
        <v>288</v>
      </c>
      <c r="D265" s="1">
        <v>21.03</v>
      </c>
      <c r="E265" s="2">
        <v>6.2</v>
      </c>
      <c r="F265" s="2">
        <v>130.39</v>
      </c>
      <c r="G265" t="s">
        <v>381</v>
      </c>
      <c r="H265">
        <f ca="1">IF(130.39&lt;&gt;130.39,0,0)</f>
        <v>0</v>
      </c>
      <c r="I265" t="s">
        <v>14</v>
      </c>
      <c r="J265" t="s">
        <v>14</v>
      </c>
    </row>
    <row r="266" spans="1:10">
      <c r="A266" t="s">
        <v>410</v>
      </c>
      <c r="B266" t="s">
        <v>380</v>
      </c>
      <c r="C266" t="s">
        <v>219</v>
      </c>
      <c r="D266" s="1">
        <v>21.04</v>
      </c>
      <c r="E266" s="2">
        <v>3.35</v>
      </c>
      <c r="F266" s="2">
        <v>70.48</v>
      </c>
      <c r="G266" t="s">
        <v>381</v>
      </c>
      <c r="H266">
        <f ca="1">IF(70.48&lt;&gt;70.48,0,0)</f>
        <v>0</v>
      </c>
      <c r="I266" t="s">
        <v>14</v>
      </c>
      <c r="J266" t="s">
        <v>14</v>
      </c>
    </row>
    <row r="267" spans="1:10">
      <c r="A267" t="s">
        <v>411</v>
      </c>
      <c r="B267" t="s">
        <v>380</v>
      </c>
      <c r="C267" t="s">
        <v>217</v>
      </c>
      <c r="D267" s="1">
        <v>21.04</v>
      </c>
      <c r="E267" s="2">
        <v>6.4</v>
      </c>
      <c r="F267" s="2">
        <v>134.66</v>
      </c>
      <c r="G267" t="s">
        <v>381</v>
      </c>
      <c r="H267">
        <f ca="1">IF(134.66&lt;&gt;134.66,0,0)</f>
        <v>0</v>
      </c>
      <c r="I267" t="s">
        <v>14</v>
      </c>
      <c r="J267" t="s">
        <v>14</v>
      </c>
    </row>
    <row r="268" spans="1:10">
      <c r="A268" t="s">
        <v>412</v>
      </c>
      <c r="B268" t="s">
        <v>380</v>
      </c>
      <c r="C268" t="s">
        <v>217</v>
      </c>
      <c r="D268" s="1">
        <v>21.01</v>
      </c>
      <c r="E268" s="2">
        <v>6.4</v>
      </c>
      <c r="F268" s="2">
        <v>134.46</v>
      </c>
      <c r="G268" t="s">
        <v>381</v>
      </c>
      <c r="H268">
        <f ca="1">IF(134.46&lt;&gt;134.46,0,0)</f>
        <v>0</v>
      </c>
      <c r="I268" t="s">
        <v>14</v>
      </c>
      <c r="J268" t="s">
        <v>14</v>
      </c>
    </row>
    <row r="269" spans="1:10">
      <c r="A269" t="s">
        <v>413</v>
      </c>
      <c r="B269" t="s">
        <v>380</v>
      </c>
      <c r="C269" t="s">
        <v>219</v>
      </c>
      <c r="D269" s="1">
        <v>21.05</v>
      </c>
      <c r="E269" s="2">
        <v>3.35</v>
      </c>
      <c r="F269" s="2">
        <v>70.52</v>
      </c>
      <c r="G269" t="s">
        <v>381</v>
      </c>
      <c r="H269">
        <f ca="1">IF(70.52&lt;&gt;70.52,0,0)</f>
        <v>0</v>
      </c>
      <c r="I269" t="s">
        <v>14</v>
      </c>
      <c r="J269" t="s">
        <v>14</v>
      </c>
    </row>
    <row r="270" spans="1:10">
      <c r="A270" t="s">
        <v>414</v>
      </c>
      <c r="B270" t="s">
        <v>380</v>
      </c>
      <c r="C270" t="s">
        <v>293</v>
      </c>
      <c r="D270" s="1">
        <v>21.09</v>
      </c>
      <c r="E270" s="2">
        <v>5.95</v>
      </c>
      <c r="F270" s="2">
        <v>125.49</v>
      </c>
      <c r="G270" t="s">
        <v>381</v>
      </c>
      <c r="H270">
        <f ca="1">IF(125.49&lt;&gt;125.49,0,0)</f>
        <v>0</v>
      </c>
      <c r="I270" t="s">
        <v>14</v>
      </c>
      <c r="J270" t="s">
        <v>14</v>
      </c>
    </row>
    <row r="271" spans="1:10">
      <c r="A271" t="s">
        <v>415</v>
      </c>
      <c r="B271" t="s">
        <v>380</v>
      </c>
      <c r="C271" t="s">
        <v>295</v>
      </c>
      <c r="D271" s="1">
        <v>21.08</v>
      </c>
      <c r="E271" s="2">
        <v>4.55</v>
      </c>
      <c r="F271" s="2">
        <v>95.91</v>
      </c>
      <c r="G271" t="s">
        <v>381</v>
      </c>
      <c r="H271">
        <f ca="1">IF(95.91&lt;&gt;95.91,0,0)</f>
        <v>0</v>
      </c>
      <c r="I271" t="s">
        <v>14</v>
      </c>
      <c r="J271" t="s">
        <v>14</v>
      </c>
    </row>
    <row r="272" spans="1:10">
      <c r="A272" t="s">
        <v>416</v>
      </c>
      <c r="B272" t="s">
        <v>380</v>
      </c>
      <c r="C272" t="s">
        <v>224</v>
      </c>
      <c r="D272" s="1">
        <v>21.07</v>
      </c>
      <c r="E272" s="2">
        <v>4.55</v>
      </c>
      <c r="F272" s="2">
        <v>95.87</v>
      </c>
      <c r="G272" t="s">
        <v>381</v>
      </c>
      <c r="H272">
        <f ca="1">IF(95.87&lt;&gt;95.87,0,0)</f>
        <v>0</v>
      </c>
      <c r="I272" t="s">
        <v>14</v>
      </c>
      <c r="J272" t="s">
        <v>14</v>
      </c>
    </row>
    <row r="273" spans="1:10">
      <c r="A273" t="s">
        <v>417</v>
      </c>
      <c r="B273" t="s">
        <v>380</v>
      </c>
      <c r="C273" t="s">
        <v>215</v>
      </c>
      <c r="D273" s="1">
        <v>21.06</v>
      </c>
      <c r="E273" s="2">
        <v>6.2</v>
      </c>
      <c r="F273" s="2">
        <v>130.57</v>
      </c>
      <c r="G273" t="s">
        <v>381</v>
      </c>
      <c r="H273">
        <f ca="1">IF(130.57&lt;&gt;130.57,0,0)</f>
        <v>0</v>
      </c>
      <c r="I273" t="s">
        <v>14</v>
      </c>
      <c r="J273" t="s">
        <v>14</v>
      </c>
    </row>
    <row r="274" spans="1:10">
      <c r="A274" t="s">
        <v>418</v>
      </c>
      <c r="B274" t="s">
        <v>380</v>
      </c>
      <c r="C274" t="s">
        <v>419</v>
      </c>
      <c r="D274" s="1">
        <v>21.05</v>
      </c>
      <c r="E274" s="2">
        <v>5.7</v>
      </c>
      <c r="F274" s="2">
        <v>119.99</v>
      </c>
      <c r="G274" t="s">
        <v>381</v>
      </c>
      <c r="H274">
        <f ca="1">IF(119.99&lt;&gt;119.99,0,0)</f>
        <v>0</v>
      </c>
      <c r="I274" t="s">
        <v>14</v>
      </c>
      <c r="J274" t="s">
        <v>14</v>
      </c>
    </row>
    <row r="275" spans="1:10">
      <c r="A275" t="s">
        <v>420</v>
      </c>
      <c r="B275" t="s">
        <v>380</v>
      </c>
      <c r="C275" t="s">
        <v>398</v>
      </c>
      <c r="D275" s="1">
        <v>21.11</v>
      </c>
      <c r="E275" s="2">
        <v>6.2</v>
      </c>
      <c r="F275" s="2">
        <v>130.88</v>
      </c>
      <c r="G275" t="s">
        <v>381</v>
      </c>
      <c r="H275">
        <f ca="1">IF(130.88&lt;&gt;130.88,0,0)</f>
        <v>0</v>
      </c>
      <c r="I275" t="s">
        <v>14</v>
      </c>
      <c r="J275" t="s">
        <v>14</v>
      </c>
    </row>
    <row r="276" spans="1:10">
      <c r="A276" t="s">
        <v>421</v>
      </c>
      <c r="B276" t="s">
        <v>422</v>
      </c>
      <c r="C276" t="s">
        <v>217</v>
      </c>
      <c r="D276" s="1">
        <v>18.78</v>
      </c>
      <c r="E276" s="2">
        <v>6.4</v>
      </c>
      <c r="F276" s="2">
        <v>120.19</v>
      </c>
      <c r="G276" t="s">
        <v>423</v>
      </c>
      <c r="H276">
        <f ca="1">IF(120.19&lt;&gt;120.19,0,0)</f>
        <v>0</v>
      </c>
      <c r="I276" t="s">
        <v>14</v>
      </c>
      <c r="J276" t="s">
        <v>14</v>
      </c>
    </row>
    <row r="277" spans="1:10">
      <c r="A277" t="s">
        <v>424</v>
      </c>
      <c r="B277" t="s">
        <v>422</v>
      </c>
      <c r="C277" t="s">
        <v>207</v>
      </c>
      <c r="D277" s="1">
        <v>18.81</v>
      </c>
      <c r="E277" s="2">
        <v>4.4</v>
      </c>
      <c r="F277" s="2">
        <v>82.76</v>
      </c>
      <c r="G277" t="s">
        <v>423</v>
      </c>
      <c r="H277">
        <f ca="1">IF(82.76&lt;&gt;82.76,0,0)</f>
        <v>0</v>
      </c>
      <c r="I277" t="s">
        <v>14</v>
      </c>
      <c r="J277" t="s">
        <v>14</v>
      </c>
    </row>
    <row r="278" spans="1:10">
      <c r="A278" t="s">
        <v>425</v>
      </c>
      <c r="B278" t="s">
        <v>422</v>
      </c>
      <c r="C278" t="s">
        <v>233</v>
      </c>
      <c r="D278" s="1">
        <v>18.74</v>
      </c>
      <c r="E278" s="2">
        <v>3.35</v>
      </c>
      <c r="F278" s="2">
        <v>62.78</v>
      </c>
      <c r="G278" t="s">
        <v>423</v>
      </c>
      <c r="H278">
        <f ca="1">IF(62.78&lt;&gt;62.78,0,0)</f>
        <v>0</v>
      </c>
      <c r="I278" t="s">
        <v>14</v>
      </c>
      <c r="J278" t="s">
        <v>14</v>
      </c>
    </row>
    <row r="279" spans="1:10">
      <c r="A279" t="s">
        <v>426</v>
      </c>
      <c r="B279" t="s">
        <v>422</v>
      </c>
      <c r="C279" t="s">
        <v>235</v>
      </c>
      <c r="D279" s="1">
        <v>18.82</v>
      </c>
      <c r="E279" s="2">
        <v>6.2</v>
      </c>
      <c r="F279" s="2">
        <v>116.68</v>
      </c>
      <c r="G279" t="s">
        <v>423</v>
      </c>
      <c r="H279">
        <f ca="1">IF(116.68&lt;&gt;116.68,0,0)</f>
        <v>0</v>
      </c>
      <c r="I279" t="s">
        <v>14</v>
      </c>
      <c r="J279" t="s">
        <v>14</v>
      </c>
    </row>
    <row r="280" spans="1:10">
      <c r="A280" t="s">
        <v>427</v>
      </c>
      <c r="B280" t="s">
        <v>422</v>
      </c>
      <c r="C280" t="s">
        <v>428</v>
      </c>
      <c r="D280" s="1">
        <v>18.82</v>
      </c>
      <c r="E280" s="2">
        <v>4.55</v>
      </c>
      <c r="F280" s="2">
        <v>85.63</v>
      </c>
      <c r="G280" t="s">
        <v>423</v>
      </c>
      <c r="H280">
        <f ca="1">IF(85.63&lt;&gt;85.63,0,0)</f>
        <v>0</v>
      </c>
      <c r="I280" t="s">
        <v>14</v>
      </c>
      <c r="J280" t="s">
        <v>14</v>
      </c>
    </row>
    <row r="281" spans="1:10">
      <c r="A281" t="s">
        <v>429</v>
      </c>
      <c r="B281" t="s">
        <v>422</v>
      </c>
      <c r="C281" t="s">
        <v>217</v>
      </c>
      <c r="D281" s="1">
        <v>18.81</v>
      </c>
      <c r="E281" s="2">
        <v>6.4</v>
      </c>
      <c r="F281" s="2">
        <v>120.38</v>
      </c>
      <c r="G281" t="s">
        <v>423</v>
      </c>
      <c r="H281">
        <f ca="1">IF(120.38&lt;&gt;120.38,0,0)</f>
        <v>0</v>
      </c>
      <c r="I281" t="s">
        <v>14</v>
      </c>
      <c r="J281" t="s">
        <v>14</v>
      </c>
    </row>
    <row r="282" spans="1:10">
      <c r="A282" t="s">
        <v>430</v>
      </c>
      <c r="B282" t="s">
        <v>422</v>
      </c>
      <c r="C282" t="s">
        <v>229</v>
      </c>
      <c r="D282" s="1">
        <v>18.86</v>
      </c>
      <c r="E282" s="2">
        <v>4.55</v>
      </c>
      <c r="F282" s="2">
        <v>85.81</v>
      </c>
      <c r="G282" t="s">
        <v>423</v>
      </c>
      <c r="H282">
        <f ca="1">IF(85.81&lt;&gt;85.81,0,0)</f>
        <v>0</v>
      </c>
      <c r="I282" t="s">
        <v>14</v>
      </c>
      <c r="J282" t="s">
        <v>14</v>
      </c>
    </row>
    <row r="283" spans="1:10">
      <c r="A283" t="s">
        <v>431</v>
      </c>
      <c r="B283" t="s">
        <v>422</v>
      </c>
      <c r="C283" t="s">
        <v>215</v>
      </c>
      <c r="D283" s="1">
        <v>18.8</v>
      </c>
      <c r="E283" s="2">
        <v>6.2</v>
      </c>
      <c r="F283" s="2">
        <v>116.56</v>
      </c>
      <c r="G283" t="s">
        <v>423</v>
      </c>
      <c r="H283">
        <f ca="1">IF(116.56&lt;&gt;116.56,0,0)</f>
        <v>0</v>
      </c>
      <c r="I283" t="s">
        <v>14</v>
      </c>
      <c r="J283" t="s">
        <v>14</v>
      </c>
    </row>
    <row r="284" spans="1:10">
      <c r="A284" t="s">
        <v>432</v>
      </c>
      <c r="B284" t="s">
        <v>422</v>
      </c>
      <c r="C284" t="s">
        <v>433</v>
      </c>
      <c r="D284" s="1">
        <v>18.79</v>
      </c>
      <c r="E284" s="2">
        <v>6.4</v>
      </c>
      <c r="F284" s="2">
        <v>120.26</v>
      </c>
      <c r="G284" t="s">
        <v>423</v>
      </c>
      <c r="H284">
        <f ca="1">IF(120.26&lt;&gt;120.26,0,0)</f>
        <v>0</v>
      </c>
      <c r="I284" t="s">
        <v>14</v>
      </c>
      <c r="J284" t="s">
        <v>14</v>
      </c>
    </row>
    <row r="285" spans="1:10">
      <c r="A285" t="s">
        <v>434</v>
      </c>
      <c r="B285" t="s">
        <v>422</v>
      </c>
      <c r="C285" t="s">
        <v>215</v>
      </c>
      <c r="D285" s="1">
        <v>18.76</v>
      </c>
      <c r="E285" s="2">
        <v>6.2</v>
      </c>
      <c r="F285" s="2">
        <v>116.31</v>
      </c>
      <c r="G285" t="s">
        <v>423</v>
      </c>
      <c r="H285">
        <f ca="1">IF(116.31&lt;&gt;116.31,0,0)</f>
        <v>0</v>
      </c>
      <c r="I285" t="s">
        <v>14</v>
      </c>
      <c r="J285" t="s">
        <v>14</v>
      </c>
    </row>
    <row r="286" spans="1:10">
      <c r="A286" t="s">
        <v>435</v>
      </c>
      <c r="B286" t="s">
        <v>422</v>
      </c>
      <c r="C286" t="s">
        <v>233</v>
      </c>
      <c r="D286" s="1">
        <v>18.81</v>
      </c>
      <c r="E286" s="2">
        <v>3.35</v>
      </c>
      <c r="F286" s="2">
        <v>63.01</v>
      </c>
      <c r="G286" t="s">
        <v>423</v>
      </c>
      <c r="H286">
        <f ca="1">IF(63.01&lt;&gt;63.01,0,0)</f>
        <v>0</v>
      </c>
      <c r="I286" t="s">
        <v>14</v>
      </c>
      <c r="J286" t="s">
        <v>14</v>
      </c>
    </row>
    <row r="287" spans="1:10">
      <c r="A287" t="s">
        <v>436</v>
      </c>
      <c r="B287" t="s">
        <v>422</v>
      </c>
      <c r="C287" t="s">
        <v>235</v>
      </c>
      <c r="D287" s="1">
        <v>18.91</v>
      </c>
      <c r="E287" s="2">
        <v>6.2</v>
      </c>
      <c r="F287" s="2">
        <v>117.24</v>
      </c>
      <c r="G287" t="s">
        <v>423</v>
      </c>
      <c r="H287">
        <f ca="1">IF(117.24&lt;&gt;117.24,0,0)</f>
        <v>0</v>
      </c>
      <c r="I287" t="s">
        <v>14</v>
      </c>
      <c r="J287" t="s">
        <v>14</v>
      </c>
    </row>
    <row r="288" spans="1:10">
      <c r="A288" t="s">
        <v>437</v>
      </c>
      <c r="B288" t="s">
        <v>422</v>
      </c>
      <c r="C288" t="s">
        <v>226</v>
      </c>
      <c r="D288" s="1">
        <v>18.85</v>
      </c>
      <c r="E288" s="2">
        <v>5.7</v>
      </c>
      <c r="F288" s="2">
        <v>107.45</v>
      </c>
      <c r="G288" t="s">
        <v>423</v>
      </c>
      <c r="H288">
        <f ca="1">IF(107.45&lt;&gt;107.44,0.010000000000005116,0)</f>
        <v>0</v>
      </c>
      <c r="I288" t="s">
        <v>14</v>
      </c>
      <c r="J288" t="s">
        <v>14</v>
      </c>
    </row>
    <row r="289" spans="1:10">
      <c r="A289" t="s">
        <v>438</v>
      </c>
      <c r="B289" t="s">
        <v>422</v>
      </c>
      <c r="C289" t="s">
        <v>439</v>
      </c>
      <c r="D289" s="1">
        <v>18.91</v>
      </c>
      <c r="E289" s="2">
        <v>5.95</v>
      </c>
      <c r="F289" s="2">
        <v>112.51</v>
      </c>
      <c r="G289" t="s">
        <v>423</v>
      </c>
      <c r="H289">
        <f ca="1">IF(112.51&lt;&gt;112.51,0,0)</f>
        <v>0</v>
      </c>
      <c r="I289" t="s">
        <v>14</v>
      </c>
      <c r="J289" t="s">
        <v>14</v>
      </c>
    </row>
    <row r="290" spans="1:10">
      <c r="A290" t="s">
        <v>440</v>
      </c>
      <c r="B290" t="s">
        <v>422</v>
      </c>
      <c r="C290" t="s">
        <v>219</v>
      </c>
      <c r="D290" s="1">
        <v>18.86</v>
      </c>
      <c r="E290" s="2">
        <v>3.35</v>
      </c>
      <c r="F290" s="2">
        <v>63.18</v>
      </c>
      <c r="G290" t="s">
        <v>423</v>
      </c>
      <c r="H290">
        <f ca="1">IF(63.18&lt;&gt;63.18,0,0)</f>
        <v>0</v>
      </c>
      <c r="I290" t="s">
        <v>14</v>
      </c>
      <c r="J290" t="s">
        <v>14</v>
      </c>
    </row>
    <row r="291" spans="1:10">
      <c r="A291" t="s">
        <v>441</v>
      </c>
      <c r="B291" t="s">
        <v>422</v>
      </c>
      <c r="C291" t="s">
        <v>406</v>
      </c>
      <c r="D291" s="1">
        <v>18.85</v>
      </c>
      <c r="E291" s="2">
        <v>4.4</v>
      </c>
      <c r="F291" s="2">
        <v>82.94</v>
      </c>
      <c r="G291" t="s">
        <v>423</v>
      </c>
      <c r="H291">
        <f ca="1">IF(82.94&lt;&gt;82.94,0,0)</f>
        <v>0</v>
      </c>
      <c r="I291" t="s">
        <v>14</v>
      </c>
      <c r="J291" t="s">
        <v>14</v>
      </c>
    </row>
    <row r="292" spans="1:10">
      <c r="A292" t="s">
        <v>442</v>
      </c>
      <c r="B292" t="s">
        <v>422</v>
      </c>
      <c r="C292" t="s">
        <v>224</v>
      </c>
      <c r="D292" s="1">
        <v>18.85</v>
      </c>
      <c r="E292" s="2">
        <v>4.55</v>
      </c>
      <c r="F292" s="2">
        <v>85.77</v>
      </c>
      <c r="G292" t="s">
        <v>423</v>
      </c>
      <c r="H292">
        <f ca="1">IF(85.77&lt;&gt;85.77,0,0)</f>
        <v>0</v>
      </c>
      <c r="I292" t="s">
        <v>14</v>
      </c>
      <c r="J292" t="s">
        <v>14</v>
      </c>
    </row>
    <row r="293" spans="1:10">
      <c r="A293" t="s">
        <v>443</v>
      </c>
      <c r="B293" t="s">
        <v>422</v>
      </c>
      <c r="C293" t="s">
        <v>384</v>
      </c>
      <c r="D293" s="1">
        <v>18.86</v>
      </c>
      <c r="E293" s="2">
        <v>5.45</v>
      </c>
      <c r="F293" s="2">
        <v>102.79</v>
      </c>
      <c r="G293" t="s">
        <v>423</v>
      </c>
      <c r="H293">
        <f ca="1">IF(102.79&lt;&gt;102.79,0,0)</f>
        <v>0</v>
      </c>
      <c r="I293" t="s">
        <v>14</v>
      </c>
      <c r="J293" t="s">
        <v>14</v>
      </c>
    </row>
    <row r="294" spans="1:10">
      <c r="A294" t="s">
        <v>444</v>
      </c>
      <c r="B294" t="s">
        <v>422</v>
      </c>
      <c r="C294" t="s">
        <v>248</v>
      </c>
      <c r="D294" s="1">
        <v>18.85</v>
      </c>
      <c r="E294" s="2">
        <v>5.95</v>
      </c>
      <c r="F294" s="2">
        <v>112.16</v>
      </c>
      <c r="G294" t="s">
        <v>423</v>
      </c>
      <c r="H294">
        <f ca="1">IF(112.16&lt;&gt;112.16,0,0)</f>
        <v>0</v>
      </c>
      <c r="I294" t="s">
        <v>14</v>
      </c>
      <c r="J294" t="s">
        <v>14</v>
      </c>
    </row>
    <row r="295" spans="1:10">
      <c r="A295" t="s">
        <v>445</v>
      </c>
      <c r="B295" t="s">
        <v>422</v>
      </c>
      <c r="C295" t="s">
        <v>288</v>
      </c>
      <c r="D295" s="1">
        <v>18.83</v>
      </c>
      <c r="E295" s="2">
        <v>6.2</v>
      </c>
      <c r="F295" s="2">
        <v>116.75</v>
      </c>
      <c r="G295" t="s">
        <v>423</v>
      </c>
      <c r="H295">
        <f ca="1">IF(116.75&lt;&gt;116.75,0,0)</f>
        <v>0</v>
      </c>
      <c r="I295" t="s">
        <v>14</v>
      </c>
      <c r="J295" t="s">
        <v>14</v>
      </c>
    </row>
    <row r="296" spans="1:10">
      <c r="A296" t="s">
        <v>446</v>
      </c>
      <c r="B296" t="s">
        <v>422</v>
      </c>
      <c r="C296" t="s">
        <v>224</v>
      </c>
      <c r="D296" s="1">
        <v>18.89</v>
      </c>
      <c r="E296" s="2">
        <v>4.55</v>
      </c>
      <c r="F296" s="2">
        <v>85.95</v>
      </c>
      <c r="G296" t="s">
        <v>423</v>
      </c>
      <c r="H296">
        <f ca="1">IF(85.95&lt;&gt;85.95,0,0)</f>
        <v>0</v>
      </c>
      <c r="I296" t="s">
        <v>14</v>
      </c>
      <c r="J296" t="s">
        <v>14</v>
      </c>
    </row>
    <row r="297" spans="1:10">
      <c r="A297" t="s">
        <v>447</v>
      </c>
      <c r="B297" t="s">
        <v>422</v>
      </c>
      <c r="C297" t="s">
        <v>253</v>
      </c>
      <c r="D297" s="1">
        <v>18.89</v>
      </c>
      <c r="E297" s="2">
        <v>5.95</v>
      </c>
      <c r="F297" s="2">
        <v>112.4</v>
      </c>
      <c r="G297" t="s">
        <v>423</v>
      </c>
      <c r="H297">
        <f ca="1">IF(112.4&lt;&gt;112.4,0,0)</f>
        <v>0</v>
      </c>
      <c r="I297" t="s">
        <v>14</v>
      </c>
      <c r="J297" t="s">
        <v>14</v>
      </c>
    </row>
    <row r="298" spans="1:10">
      <c r="A298" t="s">
        <v>448</v>
      </c>
      <c r="B298" t="s">
        <v>422</v>
      </c>
      <c r="C298" t="s">
        <v>217</v>
      </c>
      <c r="D298" s="1">
        <v>18.88</v>
      </c>
      <c r="E298" s="2">
        <v>6.4</v>
      </c>
      <c r="F298" s="2">
        <v>120.83</v>
      </c>
      <c r="G298" t="s">
        <v>423</v>
      </c>
      <c r="H298">
        <f ca="1">IF(120.83&lt;&gt;120.83,0,0)</f>
        <v>0</v>
      </c>
      <c r="I298" t="s">
        <v>14</v>
      </c>
      <c r="J298" t="s">
        <v>14</v>
      </c>
    </row>
    <row r="299" spans="1:10">
      <c r="A299" t="s">
        <v>449</v>
      </c>
      <c r="B299" t="s">
        <v>422</v>
      </c>
      <c r="C299" t="s">
        <v>224</v>
      </c>
      <c r="D299" s="1">
        <v>18.8</v>
      </c>
      <c r="E299" s="2">
        <v>4.55</v>
      </c>
      <c r="F299" s="2">
        <v>85.54</v>
      </c>
      <c r="G299" t="s">
        <v>423</v>
      </c>
      <c r="H299">
        <f ca="1">IF(85.54&lt;&gt;85.54,0,0)</f>
        <v>0</v>
      </c>
      <c r="I299" t="s">
        <v>14</v>
      </c>
      <c r="J299" t="s">
        <v>14</v>
      </c>
    </row>
    <row r="300" spans="1:10">
      <c r="A300" t="s">
        <v>450</v>
      </c>
      <c r="B300" t="s">
        <v>422</v>
      </c>
      <c r="C300" t="s">
        <v>288</v>
      </c>
      <c r="D300" s="1">
        <v>18.86</v>
      </c>
      <c r="E300" s="2">
        <v>6.2</v>
      </c>
      <c r="F300" s="2">
        <v>116.93</v>
      </c>
      <c r="G300" t="s">
        <v>423</v>
      </c>
      <c r="H300">
        <f ca="1">IF(116.93&lt;&gt;116.93,0,0)</f>
        <v>0</v>
      </c>
      <c r="I300" t="s">
        <v>14</v>
      </c>
      <c r="J300" t="s">
        <v>14</v>
      </c>
    </row>
    <row r="301" spans="1:10">
      <c r="A301" t="s">
        <v>451</v>
      </c>
      <c r="B301" t="s">
        <v>422</v>
      </c>
      <c r="C301" t="s">
        <v>235</v>
      </c>
      <c r="D301" s="1">
        <v>18.95</v>
      </c>
      <c r="E301" s="2">
        <v>6.2</v>
      </c>
      <c r="F301" s="2">
        <v>117.49</v>
      </c>
      <c r="G301" t="s">
        <v>423</v>
      </c>
      <c r="H301">
        <f ca="1">IF(117.49&lt;&gt;117.49,0,0)</f>
        <v>0</v>
      </c>
      <c r="I301" t="s">
        <v>14</v>
      </c>
      <c r="J301" t="s">
        <v>14</v>
      </c>
    </row>
    <row r="302" spans="1:10">
      <c r="A302" t="s">
        <v>452</v>
      </c>
      <c r="B302" t="s">
        <v>422</v>
      </c>
      <c r="C302" t="s">
        <v>224</v>
      </c>
      <c r="D302" s="1">
        <v>18.88</v>
      </c>
      <c r="E302" s="2">
        <v>4.55</v>
      </c>
      <c r="F302" s="2">
        <v>85.9</v>
      </c>
      <c r="G302" t="s">
        <v>423</v>
      </c>
      <c r="H302">
        <f ca="1">IF(85.9&lt;&gt;85.9,0,0)</f>
        <v>0</v>
      </c>
      <c r="I302" t="s">
        <v>14</v>
      </c>
      <c r="J302" t="s">
        <v>14</v>
      </c>
    </row>
    <row r="303" spans="1:10">
      <c r="A303" t="s">
        <v>453</v>
      </c>
      <c r="B303" t="s">
        <v>422</v>
      </c>
      <c r="C303" t="s">
        <v>248</v>
      </c>
      <c r="D303" s="1">
        <v>18.96</v>
      </c>
      <c r="E303" s="2">
        <v>5.95</v>
      </c>
      <c r="F303" s="2">
        <v>112.81</v>
      </c>
      <c r="G303" t="s">
        <v>423</v>
      </c>
      <c r="H303">
        <f ca="1">IF(112.81&lt;&gt;112.81,0,0)</f>
        <v>0</v>
      </c>
      <c r="I303" t="s">
        <v>14</v>
      </c>
      <c r="J303" t="s">
        <v>14</v>
      </c>
    </row>
    <row r="304" spans="1:10">
      <c r="A304" t="s">
        <v>454</v>
      </c>
      <c r="B304" t="s">
        <v>422</v>
      </c>
      <c r="C304" t="s">
        <v>215</v>
      </c>
      <c r="D304" s="1">
        <v>18.93</v>
      </c>
      <c r="E304" s="2">
        <v>6.2</v>
      </c>
      <c r="F304" s="2">
        <v>117.37</v>
      </c>
      <c r="G304" t="s">
        <v>423</v>
      </c>
      <c r="H304">
        <f ca="1">IF(117.37&lt;&gt;117.37,0,0)</f>
        <v>0</v>
      </c>
      <c r="I304" t="s">
        <v>14</v>
      </c>
      <c r="J304" t="s">
        <v>14</v>
      </c>
    </row>
    <row r="305" spans="1:10">
      <c r="A305" t="s">
        <v>455</v>
      </c>
      <c r="B305" t="s">
        <v>422</v>
      </c>
      <c r="C305" t="s">
        <v>456</v>
      </c>
      <c r="D305" s="1">
        <v>18.94</v>
      </c>
      <c r="E305" s="2">
        <v>4.55</v>
      </c>
      <c r="F305" s="2">
        <v>86.18</v>
      </c>
      <c r="G305" t="s">
        <v>423</v>
      </c>
      <c r="H305">
        <f ca="1">IF(86.18&lt;&gt;86.18,0,0)</f>
        <v>0</v>
      </c>
      <c r="I305" t="s">
        <v>14</v>
      </c>
      <c r="J305" t="s">
        <v>14</v>
      </c>
    </row>
    <row r="306" spans="1:10">
      <c r="A306" t="s">
        <v>457</v>
      </c>
      <c r="B306" t="s">
        <v>422</v>
      </c>
      <c r="C306" t="s">
        <v>224</v>
      </c>
      <c r="D306" s="1">
        <v>18.87</v>
      </c>
      <c r="E306" s="2">
        <v>4.55</v>
      </c>
      <c r="F306" s="2">
        <v>85.86</v>
      </c>
      <c r="G306" t="s">
        <v>423</v>
      </c>
      <c r="H306">
        <f ca="1">IF(85.86&lt;&gt;85.86,0,0)</f>
        <v>0</v>
      </c>
      <c r="I306" t="s">
        <v>14</v>
      </c>
      <c r="J306" t="s">
        <v>14</v>
      </c>
    </row>
    <row r="307" spans="1:10">
      <c r="A307" t="s">
        <v>458</v>
      </c>
      <c r="B307" t="s">
        <v>422</v>
      </c>
      <c r="C307" t="s">
        <v>248</v>
      </c>
      <c r="D307" s="1">
        <v>18.86</v>
      </c>
      <c r="E307" s="2">
        <v>5.95</v>
      </c>
      <c r="F307" s="2">
        <v>112.22</v>
      </c>
      <c r="G307" t="s">
        <v>423</v>
      </c>
      <c r="H307">
        <f ca="1">IF(112.22&lt;&gt;112.22,0,0)</f>
        <v>0</v>
      </c>
      <c r="I307" t="s">
        <v>14</v>
      </c>
      <c r="J307" t="s">
        <v>14</v>
      </c>
    </row>
    <row r="308" spans="1:10">
      <c r="A308" t="s">
        <v>459</v>
      </c>
      <c r="B308" t="s">
        <v>460</v>
      </c>
      <c r="C308" t="s">
        <v>461</v>
      </c>
      <c r="D308" s="1">
        <v>22.6</v>
      </c>
      <c r="E308" s="2">
        <v>4.95</v>
      </c>
      <c r="F308" s="2">
        <v>111.87</v>
      </c>
      <c r="G308" t="s">
        <v>462</v>
      </c>
      <c r="H308">
        <f ca="1">IF(111.87&lt;&gt;111.87,0,0)</f>
        <v>0</v>
      </c>
      <c r="I308" t="s">
        <v>14</v>
      </c>
      <c r="J308" t="s">
        <v>14</v>
      </c>
    </row>
    <row r="309" spans="1:10">
      <c r="A309" t="s">
        <v>463</v>
      </c>
      <c r="B309" t="s">
        <v>460</v>
      </c>
      <c r="C309" t="s">
        <v>464</v>
      </c>
      <c r="D309" s="1">
        <v>22.61</v>
      </c>
      <c r="E309" s="2">
        <v>4.15</v>
      </c>
      <c r="F309" s="2">
        <v>93.83</v>
      </c>
      <c r="G309" t="s">
        <v>462</v>
      </c>
      <c r="H309">
        <f ca="1">IF(93.83&lt;&gt;93.83,0,0)</f>
        <v>0</v>
      </c>
      <c r="I309" t="s">
        <v>14</v>
      </c>
      <c r="J309" t="s">
        <v>14</v>
      </c>
    </row>
    <row r="310" spans="1:10">
      <c r="A310" t="s">
        <v>465</v>
      </c>
      <c r="B310" t="s">
        <v>460</v>
      </c>
      <c r="C310" t="s">
        <v>461</v>
      </c>
      <c r="D310" s="1">
        <v>22.53</v>
      </c>
      <c r="E310" s="2">
        <v>4.95</v>
      </c>
      <c r="F310" s="2">
        <v>111.52</v>
      </c>
      <c r="G310" t="s">
        <v>462</v>
      </c>
      <c r="H310">
        <f ca="1">IF(111.52&lt;&gt;111.52,0,0)</f>
        <v>0</v>
      </c>
      <c r="I310" t="s">
        <v>14</v>
      </c>
      <c r="J310" t="s">
        <v>14</v>
      </c>
    </row>
    <row r="311" spans="1:10">
      <c r="A311" t="s">
        <v>466</v>
      </c>
      <c r="B311" t="s">
        <v>460</v>
      </c>
      <c r="C311" t="s">
        <v>467</v>
      </c>
      <c r="D311" s="1">
        <v>22.62</v>
      </c>
      <c r="E311" s="2">
        <v>3.7</v>
      </c>
      <c r="F311" s="2">
        <v>83.69</v>
      </c>
      <c r="G311" t="s">
        <v>462</v>
      </c>
      <c r="H311">
        <f ca="1">IF(83.69&lt;&gt;83.69,0,0)</f>
        <v>0</v>
      </c>
      <c r="I311" t="s">
        <v>14</v>
      </c>
      <c r="J311" t="s">
        <v>14</v>
      </c>
    </row>
    <row r="312" spans="1:10">
      <c r="A312" t="s">
        <v>468</v>
      </c>
      <c r="B312" t="s">
        <v>460</v>
      </c>
      <c r="C312" t="s">
        <v>469</v>
      </c>
      <c r="D312" s="1">
        <v>22.61</v>
      </c>
      <c r="E312" s="2">
        <v>3.35</v>
      </c>
      <c r="F312" s="2">
        <v>75.74</v>
      </c>
      <c r="G312" t="s">
        <v>462</v>
      </c>
      <c r="H312">
        <f ca="1">IF(75.74&lt;&gt;75.74,0,0)</f>
        <v>0</v>
      </c>
      <c r="I312" t="s">
        <v>14</v>
      </c>
      <c r="J312" t="s">
        <v>14</v>
      </c>
    </row>
    <row r="313" spans="1:10">
      <c r="A313" t="s">
        <v>470</v>
      </c>
      <c r="B313" t="s">
        <v>460</v>
      </c>
      <c r="C313" t="s">
        <v>469</v>
      </c>
      <c r="D313" s="1">
        <v>22.59</v>
      </c>
      <c r="E313" s="2">
        <v>3.35</v>
      </c>
      <c r="F313" s="2">
        <v>75.68</v>
      </c>
      <c r="G313" t="s">
        <v>462</v>
      </c>
      <c r="H313">
        <f ca="1">IF(75.68&lt;&gt;75.68,0,0)</f>
        <v>0</v>
      </c>
      <c r="I313" t="s">
        <v>14</v>
      </c>
      <c r="J313" t="s">
        <v>14</v>
      </c>
    </row>
    <row r="314" spans="1:10">
      <c r="A314" t="s">
        <v>471</v>
      </c>
      <c r="B314" t="s">
        <v>460</v>
      </c>
      <c r="C314" t="s">
        <v>461</v>
      </c>
      <c r="D314" s="1">
        <v>22.59</v>
      </c>
      <c r="E314" s="2">
        <v>4.95</v>
      </c>
      <c r="F314" s="2">
        <v>111.82</v>
      </c>
      <c r="G314" t="s">
        <v>462</v>
      </c>
      <c r="H314">
        <f ca="1">IF(111.82&lt;&gt;111.82,0,0)</f>
        <v>0</v>
      </c>
      <c r="I314" t="s">
        <v>14</v>
      </c>
      <c r="J314" t="s">
        <v>14</v>
      </c>
    </row>
    <row r="315" spans="1:10">
      <c r="A315" t="s">
        <v>472</v>
      </c>
      <c r="B315" t="s">
        <v>460</v>
      </c>
      <c r="C315" t="s">
        <v>469</v>
      </c>
      <c r="D315" s="1">
        <v>22.54</v>
      </c>
      <c r="E315" s="2">
        <v>3.35</v>
      </c>
      <c r="F315" s="2">
        <v>75.51</v>
      </c>
      <c r="G315" t="s">
        <v>462</v>
      </c>
      <c r="H315">
        <f ca="1">IF(75.51&lt;&gt;75.51,0,0)</f>
        <v>0</v>
      </c>
      <c r="I315" t="s">
        <v>14</v>
      </c>
      <c r="J315" t="s">
        <v>14</v>
      </c>
    </row>
    <row r="316" spans="1:10">
      <c r="A316" t="s">
        <v>473</v>
      </c>
      <c r="B316" t="s">
        <v>460</v>
      </c>
      <c r="C316" t="s">
        <v>469</v>
      </c>
      <c r="D316" s="1">
        <v>22.64</v>
      </c>
      <c r="E316" s="2">
        <v>3.35</v>
      </c>
      <c r="F316" s="2">
        <v>75.84</v>
      </c>
      <c r="G316" t="s">
        <v>462</v>
      </c>
      <c r="H316">
        <f ca="1">IF(75.84&lt;&gt;75.84,0,0)</f>
        <v>0</v>
      </c>
      <c r="I316" t="s">
        <v>14</v>
      </c>
      <c r="J316" t="s">
        <v>14</v>
      </c>
    </row>
    <row r="317" spans="1:10">
      <c r="A317" t="s">
        <v>474</v>
      </c>
      <c r="B317" t="s">
        <v>460</v>
      </c>
      <c r="C317" t="s">
        <v>475</v>
      </c>
      <c r="D317" s="1">
        <v>22.55</v>
      </c>
      <c r="E317" s="2">
        <v>5.95</v>
      </c>
      <c r="F317" s="2">
        <v>134.17</v>
      </c>
      <c r="G317" t="s">
        <v>462</v>
      </c>
      <c r="H317">
        <f ca="1">IF(134.17&lt;&gt;134.17,0,0)</f>
        <v>0</v>
      </c>
      <c r="I317" t="s">
        <v>14</v>
      </c>
      <c r="J317" t="s">
        <v>14</v>
      </c>
    </row>
    <row r="318" spans="1:10">
      <c r="A318" t="s">
        <v>476</v>
      </c>
      <c r="B318" t="s">
        <v>460</v>
      </c>
      <c r="C318" t="s">
        <v>477</v>
      </c>
      <c r="D318" s="1">
        <v>20.67</v>
      </c>
      <c r="E318" s="2">
        <v>5.95</v>
      </c>
      <c r="F318" s="2">
        <v>122.99</v>
      </c>
      <c r="G318" t="s">
        <v>462</v>
      </c>
      <c r="H318">
        <f ca="1">IF(122.99&lt;&gt;122.99,0,0)</f>
        <v>0</v>
      </c>
      <c r="I318" t="s">
        <v>14</v>
      </c>
      <c r="J318" t="s">
        <v>14</v>
      </c>
    </row>
    <row r="319" spans="1:10">
      <c r="A319" t="s">
        <v>478</v>
      </c>
      <c r="B319" t="s">
        <v>460</v>
      </c>
      <c r="C319" t="s">
        <v>469</v>
      </c>
      <c r="D319" s="1">
        <v>20.78</v>
      </c>
      <c r="E319" s="2">
        <v>3.35</v>
      </c>
      <c r="F319" s="2">
        <v>69.61</v>
      </c>
      <c r="G319" t="s">
        <v>462</v>
      </c>
      <c r="H319">
        <f ca="1">IF(69.61&lt;&gt;69.61,0,0)</f>
        <v>0</v>
      </c>
      <c r="I319" t="s">
        <v>14</v>
      </c>
      <c r="J319" t="s">
        <v>14</v>
      </c>
    </row>
    <row r="320" spans="1:10">
      <c r="A320" t="s">
        <v>479</v>
      </c>
      <c r="B320" t="s">
        <v>460</v>
      </c>
      <c r="C320" t="s">
        <v>480</v>
      </c>
      <c r="D320" s="1">
        <v>20.75</v>
      </c>
      <c r="E320" s="2">
        <v>4.95</v>
      </c>
      <c r="F320" s="2">
        <v>102.71</v>
      </c>
      <c r="G320" t="s">
        <v>462</v>
      </c>
      <c r="H320">
        <f ca="1">IF(102.71&lt;&gt;102.71,0,0)</f>
        <v>0</v>
      </c>
      <c r="I320" t="s">
        <v>14</v>
      </c>
      <c r="J320" t="s">
        <v>14</v>
      </c>
    </row>
    <row r="321" spans="1:10">
      <c r="A321" t="s">
        <v>481</v>
      </c>
      <c r="B321" t="s">
        <v>460</v>
      </c>
      <c r="C321" t="s">
        <v>469</v>
      </c>
      <c r="D321" s="1">
        <v>20.82</v>
      </c>
      <c r="E321" s="2">
        <v>3.35</v>
      </c>
      <c r="F321" s="2">
        <v>69.75</v>
      </c>
      <c r="G321" t="s">
        <v>462</v>
      </c>
      <c r="H321">
        <f ca="1">IF(69.75&lt;&gt;69.75,0,0)</f>
        <v>0</v>
      </c>
      <c r="I321" t="s">
        <v>14</v>
      </c>
      <c r="J321" t="s">
        <v>14</v>
      </c>
    </row>
    <row r="322" spans="1:10">
      <c r="A322" t="s">
        <v>482</v>
      </c>
      <c r="B322" t="s">
        <v>460</v>
      </c>
      <c r="C322" t="s">
        <v>464</v>
      </c>
      <c r="D322" s="1">
        <v>20.86</v>
      </c>
      <c r="E322" s="2">
        <v>4.15</v>
      </c>
      <c r="F322" s="2">
        <v>86.57</v>
      </c>
      <c r="G322" t="s">
        <v>462</v>
      </c>
      <c r="H322">
        <f ca="1">IF(86.57&lt;&gt;86.57,0,0)</f>
        <v>0</v>
      </c>
      <c r="I322" t="s">
        <v>14</v>
      </c>
      <c r="J322" t="s">
        <v>14</v>
      </c>
    </row>
    <row r="323" spans="1:10">
      <c r="A323" t="s">
        <v>483</v>
      </c>
      <c r="B323" t="s">
        <v>460</v>
      </c>
      <c r="C323" t="s">
        <v>464</v>
      </c>
      <c r="D323" s="1">
        <v>20.86</v>
      </c>
      <c r="E323" s="2">
        <v>4.15</v>
      </c>
      <c r="F323" s="2">
        <v>86.57</v>
      </c>
      <c r="G323" t="s">
        <v>462</v>
      </c>
      <c r="H323">
        <f ca="1">IF(86.57&lt;&gt;86.57,0,0)</f>
        <v>0</v>
      </c>
      <c r="I323" t="s">
        <v>14</v>
      </c>
      <c r="J323" t="s">
        <v>14</v>
      </c>
    </row>
    <row r="324" spans="1:10">
      <c r="A324" t="s">
        <v>484</v>
      </c>
      <c r="B324" t="s">
        <v>460</v>
      </c>
      <c r="C324" t="s">
        <v>464</v>
      </c>
      <c r="D324" s="1">
        <v>20.78</v>
      </c>
      <c r="E324" s="2">
        <v>4.15</v>
      </c>
      <c r="F324" s="2">
        <v>86.24</v>
      </c>
      <c r="G324" t="s">
        <v>462</v>
      </c>
      <c r="H324">
        <f ca="1">IF(86.24&lt;&gt;86.24,0,0)</f>
        <v>0</v>
      </c>
      <c r="I324" t="s">
        <v>14</v>
      </c>
      <c r="J324" t="s">
        <v>14</v>
      </c>
    </row>
    <row r="325" spans="1:10">
      <c r="A325" t="s">
        <v>485</v>
      </c>
      <c r="B325" t="s">
        <v>460</v>
      </c>
      <c r="C325" t="s">
        <v>461</v>
      </c>
      <c r="D325" s="1">
        <v>19.91</v>
      </c>
      <c r="E325" s="2">
        <v>4.95</v>
      </c>
      <c r="F325" s="2">
        <v>98.55</v>
      </c>
      <c r="G325" t="s">
        <v>462</v>
      </c>
      <c r="H325">
        <f ca="1">IF(98.55&lt;&gt;98.55,0,0)</f>
        <v>0</v>
      </c>
      <c r="I325" t="s">
        <v>14</v>
      </c>
      <c r="J325" t="s">
        <v>14</v>
      </c>
    </row>
    <row r="326" spans="1:10">
      <c r="A326" t="s">
        <v>486</v>
      </c>
      <c r="B326" t="s">
        <v>460</v>
      </c>
      <c r="C326" t="s">
        <v>469</v>
      </c>
      <c r="D326" s="1">
        <v>22.8</v>
      </c>
      <c r="E326" s="2">
        <v>3.35</v>
      </c>
      <c r="F326" s="2">
        <v>76.38</v>
      </c>
      <c r="G326" t="s">
        <v>462</v>
      </c>
      <c r="H326">
        <f ca="1">IF(76.38&lt;&gt;76.38,0,0)</f>
        <v>0</v>
      </c>
      <c r="I326" t="s">
        <v>14</v>
      </c>
      <c r="J326" t="s">
        <v>14</v>
      </c>
    </row>
    <row r="327" spans="1:10">
      <c r="A327" t="s">
        <v>487</v>
      </c>
      <c r="B327" t="s">
        <v>460</v>
      </c>
      <c r="C327" t="s">
        <v>467</v>
      </c>
      <c r="D327" s="1">
        <v>22.84</v>
      </c>
      <c r="E327" s="2">
        <v>3.7</v>
      </c>
      <c r="F327" s="2">
        <v>84.51</v>
      </c>
      <c r="G327" t="s">
        <v>462</v>
      </c>
      <c r="H327">
        <f ca="1">IF(84.51&lt;&gt;84.51,0,0)</f>
        <v>0</v>
      </c>
      <c r="I327" t="s">
        <v>14</v>
      </c>
      <c r="J327" t="s">
        <v>14</v>
      </c>
    </row>
    <row r="328" spans="1:10">
      <c r="A328" t="s">
        <v>488</v>
      </c>
      <c r="B328" t="s">
        <v>460</v>
      </c>
      <c r="C328" t="s">
        <v>469</v>
      </c>
      <c r="D328" s="1">
        <v>22.87</v>
      </c>
      <c r="E328" s="2">
        <v>3.35</v>
      </c>
      <c r="F328" s="2">
        <v>76.61</v>
      </c>
      <c r="G328" t="s">
        <v>462</v>
      </c>
      <c r="H328">
        <f ca="1">IF(76.61&lt;&gt;76.61,0,0)</f>
        <v>0</v>
      </c>
      <c r="I328" t="s">
        <v>14</v>
      </c>
      <c r="J328" t="s">
        <v>14</v>
      </c>
    </row>
    <row r="329" spans="1:10">
      <c r="A329" t="s">
        <v>489</v>
      </c>
      <c r="B329" t="s">
        <v>460</v>
      </c>
      <c r="C329" t="s">
        <v>477</v>
      </c>
      <c r="D329" s="1">
        <v>22.92</v>
      </c>
      <c r="E329" s="2">
        <v>5.95</v>
      </c>
      <c r="F329" s="2">
        <v>136.37</v>
      </c>
      <c r="G329" t="s">
        <v>462</v>
      </c>
      <c r="H329">
        <f ca="1">IF(136.37&lt;&gt;136.37,0,0)</f>
        <v>0</v>
      </c>
      <c r="I329" t="s">
        <v>14</v>
      </c>
      <c r="J329" t="s">
        <v>14</v>
      </c>
    </row>
    <row r="330" spans="1:10">
      <c r="A330" t="s">
        <v>490</v>
      </c>
      <c r="B330" t="s">
        <v>460</v>
      </c>
      <c r="C330" t="s">
        <v>469</v>
      </c>
      <c r="D330" s="1">
        <v>22.89</v>
      </c>
      <c r="E330" s="2">
        <v>3.35</v>
      </c>
      <c r="F330" s="2">
        <v>76.68</v>
      </c>
      <c r="G330" t="s">
        <v>462</v>
      </c>
      <c r="H330">
        <f ca="1">IF(76.68&lt;&gt;76.68,0,0)</f>
        <v>0</v>
      </c>
      <c r="I330" t="s">
        <v>14</v>
      </c>
      <c r="J330" t="s">
        <v>14</v>
      </c>
    </row>
    <row r="331" spans="1:10">
      <c r="A331" t="s">
        <v>491</v>
      </c>
      <c r="B331" t="s">
        <v>460</v>
      </c>
      <c r="C331" t="s">
        <v>492</v>
      </c>
      <c r="D331" s="1">
        <v>22.86</v>
      </c>
      <c r="E331" s="2">
        <v>5.15</v>
      </c>
      <c r="F331" s="2">
        <v>117.73</v>
      </c>
      <c r="G331" t="s">
        <v>462</v>
      </c>
      <c r="H331">
        <f ca="1">IF(117.73&lt;&gt;117.73,0,0)</f>
        <v>0</v>
      </c>
      <c r="I331" t="s">
        <v>14</v>
      </c>
      <c r="J331" t="s">
        <v>14</v>
      </c>
    </row>
    <row r="332" spans="1:10">
      <c r="A332" t="s">
        <v>493</v>
      </c>
      <c r="B332" t="s">
        <v>494</v>
      </c>
      <c r="C332" t="s">
        <v>217</v>
      </c>
      <c r="D332" s="1">
        <v>18.87</v>
      </c>
      <c r="E332" s="2">
        <v>6.4</v>
      </c>
      <c r="F332" s="2">
        <v>120.77</v>
      </c>
      <c r="G332" t="s">
        <v>495</v>
      </c>
      <c r="H332">
        <f ca="1">IF(120.77&lt;&gt;120.77,0,0)</f>
        <v>0</v>
      </c>
      <c r="I332" t="s">
        <v>14</v>
      </c>
      <c r="J332" t="s">
        <v>14</v>
      </c>
    </row>
    <row r="333" spans="1:10">
      <c r="A333" t="s">
        <v>496</v>
      </c>
      <c r="B333" t="s">
        <v>494</v>
      </c>
      <c r="C333" t="s">
        <v>219</v>
      </c>
      <c r="D333" s="1">
        <v>18.9</v>
      </c>
      <c r="E333" s="2">
        <v>3.35</v>
      </c>
      <c r="F333" s="2">
        <v>63.32</v>
      </c>
      <c r="G333" t="s">
        <v>495</v>
      </c>
      <c r="H333">
        <f ca="1">IF(63.32&lt;&gt;63.32,0,0)</f>
        <v>0</v>
      </c>
      <c r="I333" t="s">
        <v>14</v>
      </c>
      <c r="J333" t="s">
        <v>14</v>
      </c>
    </row>
    <row r="334" spans="1:10">
      <c r="A334" t="s">
        <v>497</v>
      </c>
      <c r="B334" t="s">
        <v>498</v>
      </c>
      <c r="C334" t="s">
        <v>217</v>
      </c>
      <c r="D334" s="1">
        <v>18.75</v>
      </c>
      <c r="E334" s="2">
        <v>6.4</v>
      </c>
      <c r="F334" s="2">
        <v>120</v>
      </c>
      <c r="G334" t="s">
        <v>499</v>
      </c>
      <c r="H334">
        <f ca="1">IF(120&lt;&gt;120,0,0)</f>
        <v>0</v>
      </c>
      <c r="I334" t="s">
        <v>14</v>
      </c>
      <c r="J334" t="s">
        <v>14</v>
      </c>
    </row>
    <row r="335" spans="1:10">
      <c r="A335" t="s">
        <v>500</v>
      </c>
      <c r="B335" t="s">
        <v>498</v>
      </c>
      <c r="C335" t="s">
        <v>219</v>
      </c>
      <c r="D335" s="1">
        <v>18.76</v>
      </c>
      <c r="E335" s="2">
        <v>3.35</v>
      </c>
      <c r="F335" s="2">
        <v>62.85</v>
      </c>
      <c r="G335" t="s">
        <v>499</v>
      </c>
      <c r="H335">
        <f ca="1">IF(62.85&lt;&gt;62.85,0,0)</f>
        <v>0</v>
      </c>
      <c r="I335" t="s">
        <v>14</v>
      </c>
      <c r="J335" t="s">
        <v>14</v>
      </c>
    </row>
    <row r="336" spans="1:10">
      <c r="A336" t="s">
        <v>501</v>
      </c>
      <c r="B336" t="s">
        <v>498</v>
      </c>
      <c r="C336" t="s">
        <v>217</v>
      </c>
      <c r="D336" s="1">
        <v>18.87</v>
      </c>
      <c r="E336" s="2">
        <v>6.4</v>
      </c>
      <c r="F336" s="2">
        <v>120.77</v>
      </c>
      <c r="G336" t="s">
        <v>499</v>
      </c>
      <c r="H336">
        <f ca="1">IF(120.77&lt;&gt;120.77,0,0)</f>
        <v>0</v>
      </c>
      <c r="I336" t="s">
        <v>14</v>
      </c>
      <c r="J336" t="s">
        <v>14</v>
      </c>
    </row>
    <row r="337" spans="1:10">
      <c r="A337" t="s">
        <v>502</v>
      </c>
      <c r="B337" t="s">
        <v>498</v>
      </c>
      <c r="C337" t="s">
        <v>229</v>
      </c>
      <c r="D337" s="1">
        <v>18.88</v>
      </c>
      <c r="E337" s="2">
        <v>4.55</v>
      </c>
      <c r="F337" s="2">
        <v>85.9</v>
      </c>
      <c r="G337" t="s">
        <v>499</v>
      </c>
      <c r="H337">
        <f ca="1">IF(85.9&lt;&gt;85.9,0,0)</f>
        <v>0</v>
      </c>
      <c r="I337" t="s">
        <v>14</v>
      </c>
      <c r="J337" t="s">
        <v>14</v>
      </c>
    </row>
    <row r="338" spans="1:10">
      <c r="A338" t="s">
        <v>503</v>
      </c>
      <c r="B338" t="s">
        <v>498</v>
      </c>
      <c r="C338" t="s">
        <v>398</v>
      </c>
      <c r="D338" s="1">
        <v>18.83</v>
      </c>
      <c r="E338" s="2">
        <v>6.2</v>
      </c>
      <c r="F338" s="2">
        <v>116.75</v>
      </c>
      <c r="G338" t="s">
        <v>499</v>
      </c>
      <c r="H338">
        <f ca="1">IF(116.75&lt;&gt;116.75,0,0)</f>
        <v>0</v>
      </c>
      <c r="I338" t="s">
        <v>14</v>
      </c>
      <c r="J338" t="s">
        <v>14</v>
      </c>
    </row>
    <row r="339" spans="1:10">
      <c r="A339" t="s">
        <v>504</v>
      </c>
      <c r="B339" t="s">
        <v>498</v>
      </c>
      <c r="C339" t="s">
        <v>226</v>
      </c>
      <c r="D339" s="1">
        <v>18.86</v>
      </c>
      <c r="E339" s="2">
        <v>5.7</v>
      </c>
      <c r="F339" s="2">
        <v>107.5</v>
      </c>
      <c r="G339" t="s">
        <v>499</v>
      </c>
      <c r="H339">
        <f ca="1">IF(107.5&lt;&gt;107.5,0,0)</f>
        <v>0</v>
      </c>
      <c r="I339" t="s">
        <v>14</v>
      </c>
      <c r="J339" t="s">
        <v>14</v>
      </c>
    </row>
    <row r="340" spans="1:10">
      <c r="A340" t="s">
        <v>505</v>
      </c>
      <c r="B340" t="s">
        <v>498</v>
      </c>
      <c r="C340" t="s">
        <v>384</v>
      </c>
      <c r="D340" s="1">
        <v>18.81</v>
      </c>
      <c r="E340" s="2">
        <v>5.45</v>
      </c>
      <c r="F340" s="2">
        <v>102.51</v>
      </c>
      <c r="G340" t="s">
        <v>499</v>
      </c>
      <c r="H340">
        <f ca="1">IF(102.51&lt;&gt;102.51,0,0)</f>
        <v>0</v>
      </c>
      <c r="I340" t="s">
        <v>14</v>
      </c>
      <c r="J340" t="s">
        <v>14</v>
      </c>
    </row>
    <row r="341" spans="1:10">
      <c r="A341" t="s">
        <v>506</v>
      </c>
      <c r="B341" t="s">
        <v>498</v>
      </c>
      <c r="C341" t="s">
        <v>235</v>
      </c>
      <c r="D341" s="1">
        <v>18.8</v>
      </c>
      <c r="E341" s="2">
        <v>6.2</v>
      </c>
      <c r="F341" s="2">
        <v>116.56</v>
      </c>
      <c r="G341" t="s">
        <v>499</v>
      </c>
      <c r="H341">
        <f ca="1">IF(116.56&lt;&gt;116.56,0,0)</f>
        <v>0</v>
      </c>
      <c r="I341" t="s">
        <v>14</v>
      </c>
      <c r="J341" t="s">
        <v>14</v>
      </c>
    </row>
    <row r="342" spans="1:10">
      <c r="A342" t="s">
        <v>507</v>
      </c>
      <c r="B342" t="s">
        <v>498</v>
      </c>
      <c r="C342" t="s">
        <v>288</v>
      </c>
      <c r="D342" s="1">
        <v>18.97</v>
      </c>
      <c r="E342" s="2">
        <v>6.2</v>
      </c>
      <c r="F342" s="2">
        <v>117.61</v>
      </c>
      <c r="G342" t="s">
        <v>499</v>
      </c>
      <c r="H342">
        <f ca="1">IF(117.61&lt;&gt;117.61,0,0)</f>
        <v>0</v>
      </c>
      <c r="I342" t="s">
        <v>14</v>
      </c>
      <c r="J342" t="s">
        <v>14</v>
      </c>
    </row>
    <row r="343" spans="1:10">
      <c r="A343" t="s">
        <v>508</v>
      </c>
      <c r="B343" t="s">
        <v>498</v>
      </c>
      <c r="C343" t="s">
        <v>207</v>
      </c>
      <c r="D343" s="1">
        <v>18.89</v>
      </c>
      <c r="E343" s="2">
        <v>4.4</v>
      </c>
      <c r="F343" s="2">
        <v>83.12</v>
      </c>
      <c r="G343" t="s">
        <v>499</v>
      </c>
      <c r="H343">
        <f ca="1">IF(83.12&lt;&gt;83.12,0,0)</f>
        <v>0</v>
      </c>
      <c r="I343" t="s">
        <v>14</v>
      </c>
      <c r="J343" t="s">
        <v>14</v>
      </c>
    </row>
    <row r="344" spans="1:10">
      <c r="A344" t="s">
        <v>509</v>
      </c>
      <c r="B344" t="s">
        <v>498</v>
      </c>
      <c r="C344" t="s">
        <v>248</v>
      </c>
      <c r="D344" s="1">
        <v>18.87</v>
      </c>
      <c r="E344" s="2">
        <v>5.95</v>
      </c>
      <c r="F344" s="2">
        <v>112.28</v>
      </c>
      <c r="G344" t="s">
        <v>499</v>
      </c>
      <c r="H344">
        <f ca="1">IF(112.28&lt;&gt;112.28,0,0)</f>
        <v>0</v>
      </c>
      <c r="I344" t="s">
        <v>14</v>
      </c>
      <c r="J344" t="s">
        <v>14</v>
      </c>
    </row>
    <row r="345" spans="1:10">
      <c r="A345" t="s">
        <v>510</v>
      </c>
      <c r="B345" t="s">
        <v>498</v>
      </c>
      <c r="C345" t="s">
        <v>511</v>
      </c>
      <c r="D345" s="1">
        <v>18.91</v>
      </c>
      <c r="E345" s="2">
        <v>5.7</v>
      </c>
      <c r="F345" s="2">
        <v>107.79</v>
      </c>
      <c r="G345" t="s">
        <v>499</v>
      </c>
      <c r="H345">
        <f ca="1">IF(107.79&lt;&gt;107.79,0,0)</f>
        <v>0</v>
      </c>
      <c r="I345" t="s">
        <v>14</v>
      </c>
      <c r="J345" t="s">
        <v>14</v>
      </c>
    </row>
    <row r="346" spans="1:10">
      <c r="A346" t="s">
        <v>512</v>
      </c>
      <c r="B346" t="s">
        <v>498</v>
      </c>
      <c r="C346" t="s">
        <v>288</v>
      </c>
      <c r="D346" s="1">
        <v>19</v>
      </c>
      <c r="E346" s="2">
        <v>6.2</v>
      </c>
      <c r="F346" s="2">
        <v>117.8</v>
      </c>
      <c r="G346" t="s">
        <v>499</v>
      </c>
      <c r="H346">
        <f ca="1">IF(117.8&lt;&gt;117.8,0,0)</f>
        <v>0</v>
      </c>
      <c r="I346" t="s">
        <v>14</v>
      </c>
      <c r="J346" t="s">
        <v>14</v>
      </c>
    </row>
    <row r="347" spans="1:10">
      <c r="A347" t="s">
        <v>513</v>
      </c>
      <c r="B347" t="s">
        <v>498</v>
      </c>
      <c r="C347" t="s">
        <v>207</v>
      </c>
      <c r="D347" s="1">
        <v>19.05</v>
      </c>
      <c r="E347" s="2">
        <v>4.4</v>
      </c>
      <c r="F347" s="2">
        <v>83.82</v>
      </c>
      <c r="G347" t="s">
        <v>499</v>
      </c>
      <c r="H347">
        <f ca="1">IF(83.82&lt;&gt;83.82,0,0)</f>
        <v>0</v>
      </c>
      <c r="I347" t="s">
        <v>14</v>
      </c>
      <c r="J347" t="s">
        <v>14</v>
      </c>
    </row>
    <row r="348" spans="1:10">
      <c r="A348" t="s">
        <v>514</v>
      </c>
      <c r="B348" t="s">
        <v>498</v>
      </c>
      <c r="C348" t="s">
        <v>515</v>
      </c>
      <c r="D348" s="1">
        <v>18.92</v>
      </c>
      <c r="E348" s="2">
        <v>6.2</v>
      </c>
      <c r="F348" s="2">
        <v>117.3</v>
      </c>
      <c r="G348" t="s">
        <v>499</v>
      </c>
      <c r="H348">
        <f ca="1">IF(117.3&lt;&gt;117.3,0,0)</f>
        <v>0</v>
      </c>
      <c r="I348" t="s">
        <v>14</v>
      </c>
      <c r="J348" t="s">
        <v>14</v>
      </c>
    </row>
    <row r="349" spans="1:10">
      <c r="A349" t="s">
        <v>516</v>
      </c>
      <c r="B349" t="s">
        <v>498</v>
      </c>
      <c r="C349" t="s">
        <v>235</v>
      </c>
      <c r="D349" s="1">
        <v>19.04</v>
      </c>
      <c r="E349" s="2">
        <v>6.2</v>
      </c>
      <c r="F349" s="2">
        <v>118.05</v>
      </c>
      <c r="G349" t="s">
        <v>499</v>
      </c>
      <c r="H349">
        <f ca="1">IF(118.05&lt;&gt;118.05,0,0)</f>
        <v>0</v>
      </c>
      <c r="I349" t="s">
        <v>14</v>
      </c>
      <c r="J349" t="s">
        <v>14</v>
      </c>
    </row>
    <row r="350" spans="1:10">
      <c r="A350" t="s">
        <v>517</v>
      </c>
      <c r="B350" t="s">
        <v>498</v>
      </c>
      <c r="C350" t="s">
        <v>518</v>
      </c>
      <c r="D350" s="1">
        <v>18.93</v>
      </c>
      <c r="E350" s="2">
        <v>4.4</v>
      </c>
      <c r="F350" s="2">
        <v>83.29</v>
      </c>
      <c r="G350" t="s">
        <v>499</v>
      </c>
      <c r="H350">
        <f ca="1">IF(83.29&lt;&gt;83.29,0,0)</f>
        <v>0</v>
      </c>
      <c r="I350" t="s">
        <v>14</v>
      </c>
      <c r="J350" t="s">
        <v>14</v>
      </c>
    </row>
    <row r="351" spans="1:10">
      <c r="A351" t="s">
        <v>519</v>
      </c>
      <c r="B351" t="s">
        <v>498</v>
      </c>
      <c r="C351" t="s">
        <v>384</v>
      </c>
      <c r="D351" s="1">
        <v>18.94</v>
      </c>
      <c r="E351" s="2">
        <v>5.45</v>
      </c>
      <c r="F351" s="2">
        <v>103.22</v>
      </c>
      <c r="G351" t="s">
        <v>499</v>
      </c>
      <c r="H351">
        <f ca="1">IF(103.22&lt;&gt;103.22,0,0)</f>
        <v>0</v>
      </c>
      <c r="I351" t="s">
        <v>14</v>
      </c>
      <c r="J351" t="s">
        <v>14</v>
      </c>
    </row>
    <row r="352" spans="1:10">
      <c r="A352" t="s">
        <v>520</v>
      </c>
      <c r="B352" t="s">
        <v>498</v>
      </c>
      <c r="C352" t="s">
        <v>521</v>
      </c>
      <c r="D352" s="1">
        <v>19.01</v>
      </c>
      <c r="E352" s="2">
        <v>5.7</v>
      </c>
      <c r="F352" s="2">
        <v>108.36</v>
      </c>
      <c r="G352" t="s">
        <v>499</v>
      </c>
      <c r="H352">
        <f ca="1">IF(108.36&lt;&gt;108.36,0,0)</f>
        <v>0</v>
      </c>
      <c r="I352" t="s">
        <v>14</v>
      </c>
      <c r="J352" t="s">
        <v>14</v>
      </c>
    </row>
    <row r="353" spans="1:10">
      <c r="A353" t="s">
        <v>522</v>
      </c>
      <c r="B353" t="s">
        <v>498</v>
      </c>
      <c r="C353" t="s">
        <v>224</v>
      </c>
      <c r="D353" s="1">
        <v>18.95</v>
      </c>
      <c r="E353" s="2">
        <v>4.55</v>
      </c>
      <c r="F353" s="2">
        <v>86.22</v>
      </c>
      <c r="G353" t="s">
        <v>499</v>
      </c>
      <c r="H353">
        <f ca="1">IF(86.22&lt;&gt;86.22,0,0)</f>
        <v>0</v>
      </c>
      <c r="I353" t="s">
        <v>14</v>
      </c>
      <c r="J353" t="s">
        <v>14</v>
      </c>
    </row>
    <row r="354" spans="1:10">
      <c r="A354" t="s">
        <v>523</v>
      </c>
      <c r="B354" t="s">
        <v>524</v>
      </c>
      <c r="C354" t="s">
        <v>20</v>
      </c>
      <c r="D354" s="1">
        <v>15.86</v>
      </c>
      <c r="E354" s="2">
        <v>5.45</v>
      </c>
      <c r="F354" s="2">
        <v>86.44</v>
      </c>
      <c r="G354" t="s">
        <v>525</v>
      </c>
      <c r="H354">
        <f ca="1">IF(86.44&lt;&gt;86.44,0,0)</f>
        <v>0</v>
      </c>
      <c r="I354" t="s">
        <v>14</v>
      </c>
      <c r="J354" t="s">
        <v>14</v>
      </c>
    </row>
    <row r="355" spans="1:10">
      <c r="A355" t="s">
        <v>526</v>
      </c>
      <c r="B355" t="s">
        <v>524</v>
      </c>
      <c r="C355" t="s">
        <v>527</v>
      </c>
      <c r="D355" s="1">
        <v>15.88</v>
      </c>
      <c r="E355" s="2">
        <v>8.55</v>
      </c>
      <c r="F355" s="2">
        <v>135.77</v>
      </c>
      <c r="G355" t="s">
        <v>525</v>
      </c>
      <c r="H355">
        <f ca="1">IF(135.77&lt;&gt;135.77,0,0)</f>
        <v>0</v>
      </c>
      <c r="I355" t="s">
        <v>14</v>
      </c>
      <c r="J355" t="s">
        <v>14</v>
      </c>
    </row>
    <row r="356" spans="1:10">
      <c r="A356" t="s">
        <v>528</v>
      </c>
      <c r="B356" t="s">
        <v>524</v>
      </c>
      <c r="C356" t="s">
        <v>64</v>
      </c>
      <c r="D356" s="1">
        <v>15.93</v>
      </c>
      <c r="E356" s="2">
        <v>13</v>
      </c>
      <c r="F356" s="2">
        <v>207.09</v>
      </c>
      <c r="G356" t="s">
        <v>525</v>
      </c>
      <c r="H356">
        <f ca="1">IF(207.09&lt;&gt;207.09,0,0)</f>
        <v>0</v>
      </c>
      <c r="I356" t="s">
        <v>14</v>
      </c>
      <c r="J356" t="s">
        <v>14</v>
      </c>
    </row>
    <row r="357" spans="1:10">
      <c r="A357" t="s">
        <v>529</v>
      </c>
      <c r="B357" t="s">
        <v>524</v>
      </c>
      <c r="C357" t="s">
        <v>34</v>
      </c>
      <c r="D357" s="1">
        <v>16.02</v>
      </c>
      <c r="E357" s="2">
        <v>4.95</v>
      </c>
      <c r="F357" s="2">
        <v>79.3</v>
      </c>
      <c r="G357" t="s">
        <v>525</v>
      </c>
      <c r="H357">
        <f ca="1">IF(79.3&lt;&gt;79.3,0,0)</f>
        <v>0</v>
      </c>
      <c r="I357" t="s">
        <v>14</v>
      </c>
      <c r="J357" t="s">
        <v>14</v>
      </c>
    </row>
    <row r="358" spans="1:10">
      <c r="A358" t="s">
        <v>530</v>
      </c>
      <c r="B358" t="s">
        <v>524</v>
      </c>
      <c r="C358" t="s">
        <v>20</v>
      </c>
      <c r="D358" s="1">
        <v>16.04</v>
      </c>
      <c r="E358" s="2">
        <v>5.45</v>
      </c>
      <c r="F358" s="2">
        <v>87.42</v>
      </c>
      <c r="G358" t="s">
        <v>525</v>
      </c>
      <c r="H358">
        <f ca="1">IF(87.42&lt;&gt;87.42,0,0)</f>
        <v>0</v>
      </c>
      <c r="I358" t="s">
        <v>14</v>
      </c>
      <c r="J358" t="s">
        <v>14</v>
      </c>
    </row>
    <row r="359" spans="1:10">
      <c r="A359" t="s">
        <v>531</v>
      </c>
      <c r="B359" t="s">
        <v>524</v>
      </c>
      <c r="C359" t="s">
        <v>59</v>
      </c>
      <c r="D359" s="1">
        <v>15.95</v>
      </c>
      <c r="E359" s="2">
        <v>5.15</v>
      </c>
      <c r="F359" s="2">
        <v>82.14</v>
      </c>
      <c r="G359" t="s">
        <v>525</v>
      </c>
      <c r="H359">
        <f ca="1">IF(82.14&lt;&gt;82.14,0,0)</f>
        <v>0</v>
      </c>
      <c r="I359" t="s">
        <v>14</v>
      </c>
      <c r="J359" t="s">
        <v>14</v>
      </c>
    </row>
    <row r="360" spans="1:10">
      <c r="A360" t="s">
        <v>532</v>
      </c>
      <c r="B360" t="s">
        <v>524</v>
      </c>
      <c r="C360" t="s">
        <v>22</v>
      </c>
      <c r="D360" s="1">
        <v>15.9</v>
      </c>
      <c r="E360" s="2">
        <v>4.2</v>
      </c>
      <c r="F360" s="2">
        <v>66.78</v>
      </c>
      <c r="G360" t="s">
        <v>525</v>
      </c>
      <c r="H360">
        <f ca="1">IF(66.78&lt;&gt;66.78,0,0)</f>
        <v>0</v>
      </c>
      <c r="I360" t="s">
        <v>14</v>
      </c>
      <c r="J360" t="s">
        <v>14</v>
      </c>
    </row>
    <row r="361" spans="1:10">
      <c r="A361" t="s">
        <v>533</v>
      </c>
      <c r="B361" t="s">
        <v>524</v>
      </c>
      <c r="C361" t="s">
        <v>534</v>
      </c>
      <c r="D361" s="1">
        <v>15.57</v>
      </c>
      <c r="E361" s="2">
        <v>6.9</v>
      </c>
      <c r="F361" s="2">
        <v>107.43</v>
      </c>
      <c r="G361" t="s">
        <v>525</v>
      </c>
      <c r="H361">
        <f ca="1">IF(107.43&lt;&gt;107.43,0,0)</f>
        <v>0</v>
      </c>
      <c r="I361" t="s">
        <v>14</v>
      </c>
      <c r="J361" t="s">
        <v>14</v>
      </c>
    </row>
    <row r="362" spans="1:10">
      <c r="A362" t="s">
        <v>535</v>
      </c>
      <c r="B362" t="s">
        <v>524</v>
      </c>
      <c r="C362" t="s">
        <v>536</v>
      </c>
      <c r="D362" s="1">
        <v>15.95</v>
      </c>
      <c r="E362" s="2">
        <v>5.15</v>
      </c>
      <c r="F362" s="2">
        <v>82.14</v>
      </c>
      <c r="G362" t="s">
        <v>525</v>
      </c>
      <c r="H362">
        <f ca="1">IF(82.14&lt;&gt;82.14,0,0)</f>
        <v>0</v>
      </c>
      <c r="I362" t="s">
        <v>14</v>
      </c>
      <c r="J362" t="s">
        <v>14</v>
      </c>
    </row>
    <row r="363" spans="1:10">
      <c r="A363" t="s">
        <v>537</v>
      </c>
      <c r="B363" t="s">
        <v>524</v>
      </c>
      <c r="C363" t="s">
        <v>18</v>
      </c>
      <c r="D363" s="1">
        <v>15.91</v>
      </c>
      <c r="E363" s="2">
        <v>5.95</v>
      </c>
      <c r="F363" s="2">
        <v>94.66</v>
      </c>
      <c r="G363" t="s">
        <v>525</v>
      </c>
      <c r="H363">
        <f ca="1">IF(94.66&lt;&gt;94.66,0,0)</f>
        <v>0</v>
      </c>
      <c r="I363" t="s">
        <v>14</v>
      </c>
      <c r="J363" t="s">
        <v>14</v>
      </c>
    </row>
    <row r="364" spans="1:10">
      <c r="A364" t="s">
        <v>538</v>
      </c>
      <c r="B364" t="s">
        <v>524</v>
      </c>
      <c r="C364" t="s">
        <v>29</v>
      </c>
      <c r="D364" s="1">
        <v>15.83</v>
      </c>
      <c r="E364" s="2">
        <v>4.55</v>
      </c>
      <c r="F364" s="2">
        <v>72.03</v>
      </c>
      <c r="G364" t="s">
        <v>525</v>
      </c>
      <c r="H364">
        <f ca="1">IF(72.03&lt;&gt;72.03,0,0)</f>
        <v>0</v>
      </c>
      <c r="I364" t="s">
        <v>14</v>
      </c>
      <c r="J364" t="s">
        <v>14</v>
      </c>
    </row>
    <row r="365" spans="1:10">
      <c r="A365" t="s">
        <v>539</v>
      </c>
      <c r="B365" t="s">
        <v>524</v>
      </c>
      <c r="C365" t="s">
        <v>25</v>
      </c>
      <c r="D365" s="1">
        <v>15.98</v>
      </c>
      <c r="E365" s="2">
        <v>5.95</v>
      </c>
      <c r="F365" s="2">
        <v>95.08</v>
      </c>
      <c r="G365" t="s">
        <v>525</v>
      </c>
      <c r="H365">
        <f ca="1">IF(95.08&lt;&gt;95.08,0,0)</f>
        <v>0</v>
      </c>
      <c r="I365" t="s">
        <v>14</v>
      </c>
      <c r="J365" t="s">
        <v>14</v>
      </c>
    </row>
    <row r="366" spans="1:10">
      <c r="A366" t="s">
        <v>540</v>
      </c>
      <c r="B366" t="s">
        <v>524</v>
      </c>
      <c r="C366" t="s">
        <v>64</v>
      </c>
      <c r="D366" s="1">
        <v>15.91</v>
      </c>
      <c r="E366" s="2">
        <v>13</v>
      </c>
      <c r="F366" s="2">
        <v>206.83</v>
      </c>
      <c r="G366" t="s">
        <v>525</v>
      </c>
      <c r="H366">
        <f ca="1">IF(206.83&lt;&gt;206.83,0,0)</f>
        <v>0</v>
      </c>
      <c r="I366" t="s">
        <v>14</v>
      </c>
      <c r="J366" t="s">
        <v>14</v>
      </c>
    </row>
    <row r="367" spans="1:10">
      <c r="A367" t="s">
        <v>541</v>
      </c>
      <c r="B367" t="s">
        <v>524</v>
      </c>
      <c r="C367" t="s">
        <v>29</v>
      </c>
      <c r="D367" s="1">
        <v>15.65</v>
      </c>
      <c r="E367" s="2">
        <v>4.55</v>
      </c>
      <c r="F367" s="2">
        <v>71.21</v>
      </c>
      <c r="G367" t="s">
        <v>525</v>
      </c>
      <c r="H367">
        <f ca="1">IF(71.21&lt;&gt;71.21,0,0)</f>
        <v>0</v>
      </c>
      <c r="I367" t="s">
        <v>14</v>
      </c>
      <c r="J367" t="s">
        <v>14</v>
      </c>
    </row>
    <row r="368" spans="1:10">
      <c r="A368" t="s">
        <v>542</v>
      </c>
      <c r="B368" t="s">
        <v>524</v>
      </c>
      <c r="C368" t="s">
        <v>22</v>
      </c>
      <c r="D368" s="1">
        <v>15.88</v>
      </c>
      <c r="E368" s="2">
        <v>4.2</v>
      </c>
      <c r="F368" s="2">
        <v>66.7</v>
      </c>
      <c r="G368" t="s">
        <v>525</v>
      </c>
      <c r="H368">
        <f ca="1">IF(66.7&lt;&gt;66.7,0,0)</f>
        <v>0</v>
      </c>
      <c r="I368" t="s">
        <v>14</v>
      </c>
      <c r="J368" t="s">
        <v>14</v>
      </c>
    </row>
    <row r="369" spans="1:10">
      <c r="A369" t="s">
        <v>543</v>
      </c>
      <c r="B369" t="s">
        <v>524</v>
      </c>
      <c r="C369" t="s">
        <v>12</v>
      </c>
      <c r="D369" s="1">
        <v>15.8</v>
      </c>
      <c r="E369" s="2">
        <v>4.2</v>
      </c>
      <c r="F369" s="2">
        <v>66.36</v>
      </c>
      <c r="G369" t="s">
        <v>525</v>
      </c>
      <c r="H369">
        <f ca="1">IF(66.36&lt;&gt;66.36,0,0)</f>
        <v>0</v>
      </c>
      <c r="I369" t="s">
        <v>14</v>
      </c>
      <c r="J369" t="s">
        <v>14</v>
      </c>
    </row>
    <row r="370" spans="1:10">
      <c r="A370" t="s">
        <v>544</v>
      </c>
      <c r="B370" t="s">
        <v>524</v>
      </c>
      <c r="C370" t="s">
        <v>545</v>
      </c>
      <c r="D370" s="1">
        <v>15.71</v>
      </c>
      <c r="E370" s="2">
        <v>4.95</v>
      </c>
      <c r="F370" s="2">
        <v>77.76</v>
      </c>
      <c r="G370" t="s">
        <v>525</v>
      </c>
      <c r="H370">
        <f ca="1">IF(77.76&lt;&gt;77.76,0,0)</f>
        <v>0</v>
      </c>
      <c r="I370" t="s">
        <v>14</v>
      </c>
      <c r="J370" t="s">
        <v>14</v>
      </c>
    </row>
    <row r="371" spans="1:10">
      <c r="A371" t="s">
        <v>546</v>
      </c>
      <c r="B371" t="s">
        <v>524</v>
      </c>
      <c r="C371" t="s">
        <v>12</v>
      </c>
      <c r="D371" s="1">
        <v>15.89</v>
      </c>
      <c r="E371" s="2">
        <v>4.2</v>
      </c>
      <c r="F371" s="2">
        <v>66.74</v>
      </c>
      <c r="G371" t="s">
        <v>525</v>
      </c>
      <c r="H371">
        <f ca="1">IF(66.74&lt;&gt;66.74,0,0)</f>
        <v>0</v>
      </c>
      <c r="I371" t="s">
        <v>14</v>
      </c>
      <c r="J371" t="s">
        <v>14</v>
      </c>
    </row>
    <row r="372" spans="1:10">
      <c r="A372" t="s">
        <v>547</v>
      </c>
      <c r="B372" t="s">
        <v>524</v>
      </c>
      <c r="C372" t="s">
        <v>20</v>
      </c>
      <c r="D372" s="1">
        <v>15.89</v>
      </c>
      <c r="E372" s="2">
        <v>5.45</v>
      </c>
      <c r="F372" s="2">
        <v>86.6</v>
      </c>
      <c r="G372" t="s">
        <v>525</v>
      </c>
      <c r="H372">
        <f ca="1">IF(86.6&lt;&gt;86.6,0,0)</f>
        <v>0</v>
      </c>
      <c r="I372" t="s">
        <v>14</v>
      </c>
      <c r="J372" t="s">
        <v>14</v>
      </c>
    </row>
    <row r="373" spans="1:10">
      <c r="A373" t="s">
        <v>548</v>
      </c>
      <c r="B373" t="s">
        <v>524</v>
      </c>
      <c r="C373" t="s">
        <v>545</v>
      </c>
      <c r="D373" s="1">
        <v>15.9</v>
      </c>
      <c r="E373" s="2">
        <v>4.95</v>
      </c>
      <c r="F373" s="2">
        <v>78.71</v>
      </c>
      <c r="G373" t="s">
        <v>525</v>
      </c>
      <c r="H373">
        <f ca="1">IF(78.71&lt;&gt;78.7,0.009999999999990905,0)</f>
        <v>0</v>
      </c>
      <c r="I373" t="s">
        <v>14</v>
      </c>
      <c r="J373" t="s">
        <v>14</v>
      </c>
    </row>
    <row r="374" spans="1:10">
      <c r="A374" t="s">
        <v>549</v>
      </c>
      <c r="B374" t="s">
        <v>524</v>
      </c>
      <c r="C374" t="s">
        <v>550</v>
      </c>
      <c r="D374" s="1">
        <v>15.82</v>
      </c>
      <c r="E374" s="2">
        <v>5.45</v>
      </c>
      <c r="F374" s="2">
        <v>86.22</v>
      </c>
      <c r="G374" t="s">
        <v>525</v>
      </c>
      <c r="H374">
        <f ca="1">IF(86.22&lt;&gt;86.22,0,0)</f>
        <v>0</v>
      </c>
      <c r="I374" t="s">
        <v>14</v>
      </c>
      <c r="J374" t="s">
        <v>14</v>
      </c>
    </row>
    <row r="375" spans="1:10">
      <c r="A375" t="s">
        <v>551</v>
      </c>
      <c r="B375" t="s">
        <v>524</v>
      </c>
      <c r="C375" t="s">
        <v>64</v>
      </c>
      <c r="D375" s="1">
        <v>15.85</v>
      </c>
      <c r="E375" s="2">
        <v>13</v>
      </c>
      <c r="F375" s="2">
        <v>206.05</v>
      </c>
      <c r="G375" t="s">
        <v>525</v>
      </c>
      <c r="H375">
        <f ca="1">IF(206.05&lt;&gt;206.05,0,0)</f>
        <v>0</v>
      </c>
      <c r="I375" t="s">
        <v>14</v>
      </c>
      <c r="J375" t="s">
        <v>14</v>
      </c>
    </row>
    <row r="376" spans="1:10">
      <c r="A376" t="s">
        <v>552</v>
      </c>
      <c r="B376" t="s">
        <v>524</v>
      </c>
      <c r="C376" t="s">
        <v>50</v>
      </c>
      <c r="D376" s="1">
        <v>15.87</v>
      </c>
      <c r="E376" s="2">
        <v>6.2</v>
      </c>
      <c r="F376" s="2">
        <v>98.39</v>
      </c>
      <c r="G376" t="s">
        <v>525</v>
      </c>
      <c r="H376">
        <f ca="1">IF(98.39&lt;&gt;98.39,0,0)</f>
        <v>0</v>
      </c>
      <c r="I376" t="s">
        <v>14</v>
      </c>
      <c r="J376" t="s">
        <v>14</v>
      </c>
    </row>
    <row r="377" spans="1:10">
      <c r="A377" t="s">
        <v>553</v>
      </c>
      <c r="B377" t="s">
        <v>524</v>
      </c>
      <c r="C377" t="s">
        <v>16</v>
      </c>
      <c r="D377" s="1">
        <v>15.91</v>
      </c>
      <c r="E377" s="2">
        <v>4.55</v>
      </c>
      <c r="F377" s="2">
        <v>72.39</v>
      </c>
      <c r="G377" t="s">
        <v>525</v>
      </c>
      <c r="H377">
        <f ca="1">IF(72.39&lt;&gt;72.39,0,0)</f>
        <v>0</v>
      </c>
      <c r="I377" t="s">
        <v>14</v>
      </c>
      <c r="J377" t="s">
        <v>14</v>
      </c>
    </row>
    <row r="378" spans="1:10">
      <c r="A378" t="s">
        <v>554</v>
      </c>
      <c r="B378" t="s">
        <v>524</v>
      </c>
      <c r="C378" t="s">
        <v>25</v>
      </c>
      <c r="D378" s="1">
        <v>15.97</v>
      </c>
      <c r="E378" s="2">
        <v>5.95</v>
      </c>
      <c r="F378" s="2">
        <v>95.02</v>
      </c>
      <c r="G378" t="s">
        <v>525</v>
      </c>
      <c r="H378">
        <f ca="1">IF(95.02&lt;&gt;95.02,0,0)</f>
        <v>0</v>
      </c>
      <c r="I378" t="s">
        <v>14</v>
      </c>
      <c r="J378" t="s">
        <v>14</v>
      </c>
    </row>
    <row r="379" spans="1:10">
      <c r="A379" t="s">
        <v>555</v>
      </c>
      <c r="B379" t="s">
        <v>524</v>
      </c>
      <c r="C379" t="s">
        <v>16</v>
      </c>
      <c r="D379" s="1">
        <v>15.92</v>
      </c>
      <c r="E379" s="2">
        <v>4.55</v>
      </c>
      <c r="F379" s="2">
        <v>72.44</v>
      </c>
      <c r="G379" t="s">
        <v>525</v>
      </c>
      <c r="H379">
        <f ca="1">IF(72.44&lt;&gt;72.44,0,0)</f>
        <v>0</v>
      </c>
      <c r="I379" t="s">
        <v>14</v>
      </c>
      <c r="J379" t="s">
        <v>14</v>
      </c>
    </row>
    <row r="380" spans="1:10">
      <c r="A380" t="s">
        <v>556</v>
      </c>
      <c r="B380" t="s">
        <v>524</v>
      </c>
      <c r="C380" t="s">
        <v>25</v>
      </c>
      <c r="D380" s="1">
        <v>15.92</v>
      </c>
      <c r="E380" s="2">
        <v>5.95</v>
      </c>
      <c r="F380" s="2">
        <v>94.72</v>
      </c>
      <c r="G380" t="s">
        <v>525</v>
      </c>
      <c r="H380">
        <f ca="1">IF(94.72&lt;&gt;94.72,0,0)</f>
        <v>0</v>
      </c>
      <c r="I380" t="s">
        <v>14</v>
      </c>
      <c r="J380" t="s">
        <v>14</v>
      </c>
    </row>
    <row r="381" spans="1:10">
      <c r="A381" t="s">
        <v>557</v>
      </c>
      <c r="B381" t="s">
        <v>524</v>
      </c>
      <c r="C381" t="s">
        <v>44</v>
      </c>
      <c r="D381" s="1">
        <v>15.99</v>
      </c>
      <c r="E381" s="2">
        <v>11.5</v>
      </c>
      <c r="F381" s="2">
        <v>183.89</v>
      </c>
      <c r="G381" t="s">
        <v>525</v>
      </c>
      <c r="H381">
        <f ca="1">IF(183.89&lt;&gt;183.88,0.009999999999990905,0)</f>
        <v>0</v>
      </c>
      <c r="I381" t="s">
        <v>14</v>
      </c>
      <c r="J381" t="s">
        <v>14</v>
      </c>
    </row>
    <row r="382" spans="1:10">
      <c r="A382" t="s">
        <v>558</v>
      </c>
      <c r="B382" t="s">
        <v>524</v>
      </c>
      <c r="C382" t="s">
        <v>39</v>
      </c>
      <c r="D382" s="1">
        <v>15.89</v>
      </c>
      <c r="E382" s="2">
        <v>6.2</v>
      </c>
      <c r="F382" s="2">
        <v>98.52</v>
      </c>
      <c r="G382" t="s">
        <v>525</v>
      </c>
      <c r="H382">
        <f ca="1">IF(98.52&lt;&gt;98.52,0,0)</f>
        <v>0</v>
      </c>
      <c r="I382" t="s">
        <v>14</v>
      </c>
      <c r="J382" t="s">
        <v>14</v>
      </c>
    </row>
    <row r="383" spans="1:10">
      <c r="A383" t="s">
        <v>559</v>
      </c>
      <c r="B383" t="s">
        <v>524</v>
      </c>
      <c r="C383" t="s">
        <v>29</v>
      </c>
      <c r="D383" s="1">
        <v>16</v>
      </c>
      <c r="E383" s="2">
        <v>4.55</v>
      </c>
      <c r="F383" s="2">
        <v>72.8</v>
      </c>
      <c r="G383" t="s">
        <v>525</v>
      </c>
      <c r="H383">
        <f ca="1">IF(72.8&lt;&gt;72.8,0,0)</f>
        <v>0</v>
      </c>
      <c r="I383" t="s">
        <v>14</v>
      </c>
      <c r="J383" t="s">
        <v>14</v>
      </c>
    </row>
    <row r="384" spans="1:10">
      <c r="A384" t="s">
        <v>560</v>
      </c>
      <c r="B384" t="s">
        <v>524</v>
      </c>
      <c r="C384" t="s">
        <v>561</v>
      </c>
      <c r="D384" s="1">
        <v>15.85</v>
      </c>
      <c r="E384" s="2">
        <v>6.7</v>
      </c>
      <c r="F384" s="2">
        <v>106.2</v>
      </c>
      <c r="G384" t="s">
        <v>525</v>
      </c>
      <c r="H384">
        <f ca="1">IF(106.2&lt;&gt;106.2,0,0)</f>
        <v>0</v>
      </c>
      <c r="I384" t="s">
        <v>14</v>
      </c>
      <c r="J384" t="s">
        <v>14</v>
      </c>
    </row>
    <row r="385" spans="1:10">
      <c r="A385" t="s">
        <v>562</v>
      </c>
      <c r="B385" t="s">
        <v>524</v>
      </c>
      <c r="C385" t="s">
        <v>16</v>
      </c>
      <c r="D385" s="1">
        <v>15.9</v>
      </c>
      <c r="E385" s="2">
        <v>4.55</v>
      </c>
      <c r="F385" s="2">
        <v>72.35</v>
      </c>
      <c r="G385" t="s">
        <v>525</v>
      </c>
      <c r="H385">
        <f ca="1">IF(72.35&lt;&gt;72.34,0.009999999999990905,0)</f>
        <v>0</v>
      </c>
      <c r="I385" t="s">
        <v>14</v>
      </c>
      <c r="J385" t="s">
        <v>14</v>
      </c>
    </row>
    <row r="386" spans="1:10">
      <c r="A386" t="s">
        <v>563</v>
      </c>
      <c r="B386" t="s">
        <v>524</v>
      </c>
      <c r="C386" t="s">
        <v>16</v>
      </c>
      <c r="D386" s="1">
        <v>15.92</v>
      </c>
      <c r="E386" s="2">
        <v>4.55</v>
      </c>
      <c r="F386" s="2">
        <v>72.44</v>
      </c>
      <c r="G386" t="s">
        <v>525</v>
      </c>
      <c r="H386">
        <f ca="1">IF(72.44&lt;&gt;72.44,0,0)</f>
        <v>0</v>
      </c>
      <c r="I386" t="s">
        <v>14</v>
      </c>
      <c r="J386" t="s">
        <v>14</v>
      </c>
    </row>
    <row r="387" spans="1:10">
      <c r="A387" t="s">
        <v>564</v>
      </c>
      <c r="B387" t="s">
        <v>565</v>
      </c>
      <c r="C387" t="s">
        <v>25</v>
      </c>
      <c r="D387" s="1">
        <v>18.77</v>
      </c>
      <c r="E387" s="2">
        <v>5.95</v>
      </c>
      <c r="F387" s="2">
        <v>111.68</v>
      </c>
      <c r="G387" t="s">
        <v>566</v>
      </c>
      <c r="H387">
        <f ca="1">IF(111.68&lt;&gt;111.68,0,0)</f>
        <v>0</v>
      </c>
      <c r="I387" t="s">
        <v>14</v>
      </c>
      <c r="J387" t="s">
        <v>14</v>
      </c>
    </row>
    <row r="388" spans="1:10">
      <c r="A388" t="s">
        <v>567</v>
      </c>
      <c r="B388" t="s">
        <v>565</v>
      </c>
      <c r="C388" t="s">
        <v>12</v>
      </c>
      <c r="D388" s="1">
        <v>19.02</v>
      </c>
      <c r="E388" s="2">
        <v>4.2</v>
      </c>
      <c r="F388" s="2">
        <v>79.88</v>
      </c>
      <c r="G388" t="s">
        <v>566</v>
      </c>
      <c r="H388">
        <f ca="1">IF(79.88&lt;&gt;79.88,0,0)</f>
        <v>0</v>
      </c>
      <c r="I388" t="s">
        <v>14</v>
      </c>
      <c r="J388" t="s">
        <v>14</v>
      </c>
    </row>
    <row r="389" spans="1:10">
      <c r="A389" t="s">
        <v>568</v>
      </c>
      <c r="B389" t="s">
        <v>565</v>
      </c>
      <c r="C389" t="s">
        <v>34</v>
      </c>
      <c r="D389" s="1">
        <v>18.96</v>
      </c>
      <c r="E389" s="2">
        <v>4.95</v>
      </c>
      <c r="F389" s="2">
        <v>93.85</v>
      </c>
      <c r="G389" t="s">
        <v>566</v>
      </c>
      <c r="H389">
        <f ca="1">IF(93.85&lt;&gt;93.85,0,0)</f>
        <v>0</v>
      </c>
      <c r="I389" t="s">
        <v>14</v>
      </c>
      <c r="J389" t="s">
        <v>14</v>
      </c>
    </row>
    <row r="390" spans="1:10">
      <c r="A390" t="s">
        <v>569</v>
      </c>
      <c r="B390" t="s">
        <v>570</v>
      </c>
      <c r="C390" t="s">
        <v>571</v>
      </c>
      <c r="D390" s="1">
        <v>18.27</v>
      </c>
      <c r="E390" s="2">
        <v>3.5</v>
      </c>
      <c r="F390" s="2">
        <v>63.95</v>
      </c>
      <c r="G390" t="s">
        <v>572</v>
      </c>
      <c r="H390">
        <f ca="1">IF(63.95&lt;&gt;63.94,0.010000000000005116,0)</f>
        <v>0</v>
      </c>
      <c r="I390" t="s">
        <v>14</v>
      </c>
      <c r="J390" t="s">
        <v>14</v>
      </c>
    </row>
    <row r="391" spans="1:10">
      <c r="A391" t="s">
        <v>573</v>
      </c>
      <c r="B391" t="s">
        <v>570</v>
      </c>
      <c r="C391" t="s">
        <v>574</v>
      </c>
      <c r="D391" s="1">
        <v>18.21</v>
      </c>
      <c r="E391" s="2">
        <v>7.5</v>
      </c>
      <c r="F391" s="2">
        <v>136.58</v>
      </c>
      <c r="G391" t="s">
        <v>572</v>
      </c>
      <c r="H391">
        <f ca="1">IF(136.58&lt;&gt;136.58,0,0)</f>
        <v>0</v>
      </c>
      <c r="I391" t="s">
        <v>14</v>
      </c>
      <c r="J391" t="s">
        <v>14</v>
      </c>
    </row>
    <row r="392" spans="1:10">
      <c r="A392" t="s">
        <v>575</v>
      </c>
      <c r="B392" t="s">
        <v>570</v>
      </c>
      <c r="C392" t="s">
        <v>576</v>
      </c>
      <c r="D392" s="1">
        <v>18.19</v>
      </c>
      <c r="E392" s="2">
        <v>3.7</v>
      </c>
      <c r="F392" s="2">
        <v>67.3</v>
      </c>
      <c r="G392" t="s">
        <v>572</v>
      </c>
      <c r="H392">
        <f ca="1">IF(67.3&lt;&gt;67.3,0,0)</f>
        <v>0</v>
      </c>
      <c r="I392" t="s">
        <v>14</v>
      </c>
      <c r="J392" t="s">
        <v>14</v>
      </c>
    </row>
    <row r="393" spans="1:10">
      <c r="A393" t="s">
        <v>577</v>
      </c>
      <c r="B393" t="s">
        <v>570</v>
      </c>
      <c r="C393" t="s">
        <v>571</v>
      </c>
      <c r="D393" s="1">
        <v>18.29</v>
      </c>
      <c r="E393" s="2">
        <v>3.5</v>
      </c>
      <c r="F393" s="2">
        <v>64.02</v>
      </c>
      <c r="G393" t="s">
        <v>572</v>
      </c>
      <c r="H393">
        <f ca="1">IF(64.02&lt;&gt;64.02,0,0)</f>
        <v>0</v>
      </c>
      <c r="I393" t="s">
        <v>14</v>
      </c>
      <c r="J393" t="s">
        <v>14</v>
      </c>
    </row>
    <row r="394" spans="1:10">
      <c r="A394" t="s">
        <v>578</v>
      </c>
      <c r="B394" t="s">
        <v>570</v>
      </c>
      <c r="C394" t="s">
        <v>579</v>
      </c>
      <c r="D394" s="1">
        <v>18.3</v>
      </c>
      <c r="E394" s="2">
        <v>9.5</v>
      </c>
      <c r="F394" s="2">
        <v>173.85</v>
      </c>
      <c r="G394" t="s">
        <v>572</v>
      </c>
      <c r="H394">
        <f ca="1">IF(173.85&lt;&gt;173.85,0,0)</f>
        <v>0</v>
      </c>
      <c r="I394" t="s">
        <v>14</v>
      </c>
      <c r="J394" t="s">
        <v>14</v>
      </c>
    </row>
    <row r="395" spans="1:10">
      <c r="A395" t="s">
        <v>580</v>
      </c>
      <c r="B395" t="s">
        <v>570</v>
      </c>
      <c r="C395" t="s">
        <v>581</v>
      </c>
      <c r="D395" s="1">
        <v>18.23</v>
      </c>
      <c r="E395" s="2">
        <v>5.15</v>
      </c>
      <c r="F395" s="2">
        <v>93.88</v>
      </c>
      <c r="G395" t="s">
        <v>572</v>
      </c>
      <c r="H395">
        <f ca="1">IF(93.88&lt;&gt;93.88,0,0)</f>
        <v>0</v>
      </c>
      <c r="I395" t="s">
        <v>14</v>
      </c>
      <c r="J395" t="s">
        <v>14</v>
      </c>
    </row>
    <row r="396" spans="1:10">
      <c r="A396" t="s">
        <v>582</v>
      </c>
      <c r="B396" t="s">
        <v>570</v>
      </c>
      <c r="C396" t="s">
        <v>583</v>
      </c>
      <c r="D396" s="1">
        <v>18.17</v>
      </c>
      <c r="E396" s="2">
        <v>4.2</v>
      </c>
      <c r="F396" s="2">
        <v>76.31</v>
      </c>
      <c r="G396" t="s">
        <v>572</v>
      </c>
      <c r="H396">
        <f ca="1">IF(76.31&lt;&gt;76.31,0,0)</f>
        <v>0</v>
      </c>
      <c r="I396" t="s">
        <v>14</v>
      </c>
      <c r="J396" t="s">
        <v>14</v>
      </c>
    </row>
    <row r="397" spans="1:10">
      <c r="A397" t="s">
        <v>584</v>
      </c>
      <c r="B397" t="s">
        <v>570</v>
      </c>
      <c r="C397" t="s">
        <v>585</v>
      </c>
      <c r="D397" s="1">
        <v>18.21</v>
      </c>
      <c r="E397" s="2">
        <v>6.2</v>
      </c>
      <c r="F397" s="2">
        <v>112.9</v>
      </c>
      <c r="G397" t="s">
        <v>572</v>
      </c>
      <c r="H397">
        <f ca="1">IF(112.9&lt;&gt;112.9,0,0)</f>
        <v>0</v>
      </c>
      <c r="I397" t="s">
        <v>14</v>
      </c>
      <c r="J397" t="s">
        <v>14</v>
      </c>
    </row>
    <row r="398" spans="1:10">
      <c r="A398" t="s">
        <v>586</v>
      </c>
      <c r="B398" t="s">
        <v>570</v>
      </c>
      <c r="C398" t="s">
        <v>71</v>
      </c>
      <c r="D398" s="1">
        <v>16.7</v>
      </c>
      <c r="E398" s="2">
        <v>5.95</v>
      </c>
      <c r="F398" s="2">
        <v>99.37</v>
      </c>
      <c r="G398" t="s">
        <v>572</v>
      </c>
      <c r="H398">
        <f ca="1">IF(99.37&lt;&gt;99.36,0.010000000000005116,0)</f>
        <v>0</v>
      </c>
      <c r="I398" t="s">
        <v>14</v>
      </c>
      <c r="J398" t="s">
        <v>14</v>
      </c>
    </row>
    <row r="399" spans="1:10">
      <c r="A399" t="s">
        <v>587</v>
      </c>
      <c r="B399" t="s">
        <v>570</v>
      </c>
      <c r="C399" t="s">
        <v>579</v>
      </c>
      <c r="D399" s="1">
        <v>18.21</v>
      </c>
      <c r="E399" s="2">
        <v>9.5</v>
      </c>
      <c r="F399" s="2">
        <v>173</v>
      </c>
      <c r="G399" t="s">
        <v>572</v>
      </c>
      <c r="H399">
        <f ca="1">IF(173&lt;&gt;173,0,0)</f>
        <v>0</v>
      </c>
      <c r="I399" t="s">
        <v>14</v>
      </c>
      <c r="J399" t="s">
        <v>14</v>
      </c>
    </row>
    <row r="400" spans="1:10">
      <c r="A400" t="s">
        <v>588</v>
      </c>
      <c r="B400" t="s">
        <v>570</v>
      </c>
      <c r="C400" t="s">
        <v>73</v>
      </c>
      <c r="D400" s="1">
        <v>1</v>
      </c>
      <c r="E400" s="2">
        <v>99.37</v>
      </c>
      <c r="F400" s="2">
        <v>99.37</v>
      </c>
      <c r="G400" t="s">
        <v>572</v>
      </c>
      <c r="H400">
        <f ca="1">IF(99.37&lt;&gt;99.37,0,0)</f>
        <v>0</v>
      </c>
      <c r="I400" t="s">
        <v>14</v>
      </c>
      <c r="J400" t="s">
        <v>14</v>
      </c>
    </row>
    <row r="401" spans="1:10">
      <c r="A401" t="s">
        <v>589</v>
      </c>
      <c r="B401" t="s">
        <v>570</v>
      </c>
      <c r="C401" t="s">
        <v>590</v>
      </c>
      <c r="D401" s="1">
        <v>18.16</v>
      </c>
      <c r="E401" s="2">
        <v>4.4</v>
      </c>
      <c r="F401" s="2">
        <v>79.9</v>
      </c>
      <c r="G401" t="s">
        <v>572</v>
      </c>
      <c r="H401">
        <f ca="1">IF(79.9&lt;&gt;79.9,0,0)</f>
        <v>0</v>
      </c>
      <c r="I401" t="s">
        <v>14</v>
      </c>
      <c r="J401" t="s">
        <v>14</v>
      </c>
    </row>
    <row r="402" spans="1:10">
      <c r="A402" t="s">
        <v>591</v>
      </c>
      <c r="B402" t="s">
        <v>570</v>
      </c>
      <c r="C402" t="s">
        <v>592</v>
      </c>
      <c r="D402" s="1">
        <v>18.31</v>
      </c>
      <c r="E402" s="2">
        <v>4.55</v>
      </c>
      <c r="F402" s="2">
        <v>83.31</v>
      </c>
      <c r="G402" t="s">
        <v>572</v>
      </c>
      <c r="H402">
        <f ca="1">IF(83.31&lt;&gt;83.31,0,0)</f>
        <v>0</v>
      </c>
      <c r="I402" t="s">
        <v>14</v>
      </c>
      <c r="J402" t="s">
        <v>14</v>
      </c>
    </row>
    <row r="403" spans="1:10">
      <c r="A403" t="s">
        <v>593</v>
      </c>
      <c r="B403" t="s">
        <v>570</v>
      </c>
      <c r="C403" t="s">
        <v>75</v>
      </c>
      <c r="D403" s="1">
        <v>18.22</v>
      </c>
      <c r="E403" s="2">
        <v>5.95</v>
      </c>
      <c r="F403" s="2">
        <v>108.41</v>
      </c>
      <c r="G403" t="s">
        <v>572</v>
      </c>
      <c r="H403">
        <f ca="1">IF(108.41&lt;&gt;108.41,0,0)</f>
        <v>0</v>
      </c>
      <c r="I403" t="s">
        <v>14</v>
      </c>
      <c r="J403" t="s">
        <v>14</v>
      </c>
    </row>
    <row r="404" spans="1:10">
      <c r="A404" t="s">
        <v>594</v>
      </c>
      <c r="B404" t="s">
        <v>570</v>
      </c>
      <c r="C404" t="s">
        <v>77</v>
      </c>
      <c r="D404" s="1">
        <v>18.27</v>
      </c>
      <c r="E404" s="2">
        <v>3.7</v>
      </c>
      <c r="F404" s="2">
        <v>67.6</v>
      </c>
      <c r="G404" t="s">
        <v>572</v>
      </c>
      <c r="H404">
        <f ca="1">IF(67.6&lt;&gt;67.6,0,0)</f>
        <v>0</v>
      </c>
      <c r="I404" t="s">
        <v>14</v>
      </c>
      <c r="J404" t="s">
        <v>14</v>
      </c>
    </row>
    <row r="405" spans="1:10">
      <c r="A405" t="s">
        <v>595</v>
      </c>
      <c r="B405" t="s">
        <v>570</v>
      </c>
      <c r="C405" t="s">
        <v>86</v>
      </c>
      <c r="D405" s="1">
        <v>18.25</v>
      </c>
      <c r="E405" s="2">
        <v>5.95</v>
      </c>
      <c r="F405" s="2">
        <v>108.59</v>
      </c>
      <c r="G405" t="s">
        <v>572</v>
      </c>
      <c r="H405">
        <f ca="1">IF(108.59&lt;&gt;108.59,0,0)</f>
        <v>0</v>
      </c>
      <c r="I405" t="s">
        <v>14</v>
      </c>
      <c r="J405" t="s">
        <v>14</v>
      </c>
    </row>
    <row r="406" spans="1:10">
      <c r="A406" t="s">
        <v>596</v>
      </c>
      <c r="B406" t="s">
        <v>570</v>
      </c>
      <c r="C406" t="s">
        <v>597</v>
      </c>
      <c r="D406" s="1">
        <v>18.28</v>
      </c>
      <c r="E406" s="2">
        <v>4.95</v>
      </c>
      <c r="F406" s="2">
        <v>90.49</v>
      </c>
      <c r="G406" t="s">
        <v>572</v>
      </c>
      <c r="H406">
        <f ca="1">IF(90.49&lt;&gt;90.49,0,0)</f>
        <v>0</v>
      </c>
      <c r="I406" t="s">
        <v>14</v>
      </c>
      <c r="J406" t="s">
        <v>14</v>
      </c>
    </row>
    <row r="407" spans="1:10">
      <c r="A407" t="s">
        <v>598</v>
      </c>
      <c r="B407" t="s">
        <v>570</v>
      </c>
      <c r="C407" t="s">
        <v>81</v>
      </c>
      <c r="D407" s="1">
        <v>18.26</v>
      </c>
      <c r="E407" s="2">
        <v>4.4</v>
      </c>
      <c r="F407" s="2">
        <v>80.34</v>
      </c>
      <c r="G407" t="s">
        <v>572</v>
      </c>
      <c r="H407">
        <f ca="1">IF(80.34&lt;&gt;80.34,0,0)</f>
        <v>0</v>
      </c>
      <c r="I407" t="s">
        <v>14</v>
      </c>
      <c r="J407" t="s">
        <v>14</v>
      </c>
    </row>
    <row r="408" spans="1:10">
      <c r="A408" t="s">
        <v>599</v>
      </c>
      <c r="B408" t="s">
        <v>570</v>
      </c>
      <c r="C408" t="s">
        <v>96</v>
      </c>
      <c r="D408" s="1">
        <v>18.16</v>
      </c>
      <c r="E408" s="2">
        <v>3.35</v>
      </c>
      <c r="F408" s="2">
        <v>60.84</v>
      </c>
      <c r="G408" t="s">
        <v>572</v>
      </c>
      <c r="H408">
        <f ca="1">IF(60.84&lt;&gt;60.84,0,0)</f>
        <v>0</v>
      </c>
      <c r="I408" t="s">
        <v>14</v>
      </c>
      <c r="J408" t="s">
        <v>14</v>
      </c>
    </row>
    <row r="409" spans="1:10">
      <c r="A409" t="s">
        <v>600</v>
      </c>
      <c r="B409" t="s">
        <v>570</v>
      </c>
      <c r="C409" t="s">
        <v>110</v>
      </c>
      <c r="D409" s="1">
        <v>18.27</v>
      </c>
      <c r="E409" s="2">
        <v>6.2</v>
      </c>
      <c r="F409" s="2">
        <v>113.27</v>
      </c>
      <c r="G409" t="s">
        <v>572</v>
      </c>
      <c r="H409">
        <f ca="1">IF(113.27&lt;&gt;113.27,0,0)</f>
        <v>0</v>
      </c>
      <c r="I409" t="s">
        <v>14</v>
      </c>
      <c r="J409" t="s">
        <v>14</v>
      </c>
    </row>
    <row r="410" spans="1:10">
      <c r="A410" t="s">
        <v>601</v>
      </c>
      <c r="B410" t="s">
        <v>570</v>
      </c>
      <c r="C410" t="s">
        <v>602</v>
      </c>
      <c r="D410" s="1">
        <v>18.21</v>
      </c>
      <c r="E410" s="2">
        <v>5.7</v>
      </c>
      <c r="F410" s="2">
        <v>103.8</v>
      </c>
      <c r="G410" t="s">
        <v>572</v>
      </c>
      <c r="H410">
        <f ca="1">IF(103.8&lt;&gt;103.8,0,0)</f>
        <v>0</v>
      </c>
      <c r="I410" t="s">
        <v>14</v>
      </c>
      <c r="J410" t="s">
        <v>14</v>
      </c>
    </row>
    <row r="411" spans="1:10">
      <c r="A411" t="s">
        <v>603</v>
      </c>
      <c r="B411" t="s">
        <v>570</v>
      </c>
      <c r="C411" t="s">
        <v>604</v>
      </c>
      <c r="D411" s="1">
        <v>18.2</v>
      </c>
      <c r="E411" s="2">
        <v>3.5</v>
      </c>
      <c r="F411" s="2">
        <v>63.7</v>
      </c>
      <c r="G411" t="s">
        <v>572</v>
      </c>
      <c r="H411">
        <f ca="1">IF(63.7&lt;&gt;63.7,0,0)</f>
        <v>0</v>
      </c>
      <c r="I411" t="s">
        <v>14</v>
      </c>
      <c r="J411" t="s">
        <v>14</v>
      </c>
    </row>
    <row r="412" spans="1:10">
      <c r="A412" t="s">
        <v>605</v>
      </c>
      <c r="B412" t="s">
        <v>570</v>
      </c>
      <c r="C412" t="s">
        <v>77</v>
      </c>
      <c r="D412" s="1">
        <v>18.2</v>
      </c>
      <c r="E412" s="2">
        <v>3.7</v>
      </c>
      <c r="F412" s="2">
        <v>67.34</v>
      </c>
      <c r="G412" t="s">
        <v>572</v>
      </c>
      <c r="H412">
        <f ca="1">IF(67.34&lt;&gt;67.34,0,0)</f>
        <v>0</v>
      </c>
      <c r="I412" t="s">
        <v>14</v>
      </c>
      <c r="J412" t="s">
        <v>14</v>
      </c>
    </row>
    <row r="413" spans="1:10">
      <c r="A413" t="s">
        <v>606</v>
      </c>
      <c r="B413" t="s">
        <v>570</v>
      </c>
      <c r="C413" t="s">
        <v>77</v>
      </c>
      <c r="D413" s="1">
        <v>18.26</v>
      </c>
      <c r="E413" s="2">
        <v>3.7</v>
      </c>
      <c r="F413" s="2">
        <v>67.56</v>
      </c>
      <c r="G413" t="s">
        <v>572</v>
      </c>
      <c r="H413">
        <f ca="1">IF(67.56&lt;&gt;67.56,0,0)</f>
        <v>0</v>
      </c>
      <c r="I413" t="s">
        <v>14</v>
      </c>
      <c r="J413" t="s">
        <v>14</v>
      </c>
    </row>
    <row r="414" spans="1:10">
      <c r="A414" t="s">
        <v>607</v>
      </c>
      <c r="B414" t="s">
        <v>570</v>
      </c>
      <c r="C414" t="s">
        <v>77</v>
      </c>
      <c r="D414" s="1">
        <v>18.27</v>
      </c>
      <c r="E414" s="2">
        <v>3.7</v>
      </c>
      <c r="F414" s="2">
        <v>67.6</v>
      </c>
      <c r="G414" t="s">
        <v>572</v>
      </c>
      <c r="H414">
        <f ca="1">IF(67.6&lt;&gt;67.6,0,0)</f>
        <v>0</v>
      </c>
      <c r="I414" t="s">
        <v>14</v>
      </c>
      <c r="J414" t="s">
        <v>14</v>
      </c>
    </row>
    <row r="415" spans="1:10">
      <c r="A415" t="s">
        <v>608</v>
      </c>
      <c r="B415" t="s">
        <v>570</v>
      </c>
      <c r="C415" t="s">
        <v>108</v>
      </c>
      <c r="D415" s="1">
        <v>18.11</v>
      </c>
      <c r="E415" s="2">
        <v>5.7</v>
      </c>
      <c r="F415" s="2">
        <v>103.23</v>
      </c>
      <c r="G415" t="s">
        <v>572</v>
      </c>
      <c r="H415">
        <f ca="1">IF(103.23&lt;&gt;103.23,0,0)</f>
        <v>0</v>
      </c>
      <c r="I415" t="s">
        <v>14</v>
      </c>
      <c r="J415" t="s">
        <v>14</v>
      </c>
    </row>
    <row r="416" spans="1:10">
      <c r="A416" t="s">
        <v>609</v>
      </c>
      <c r="B416" t="s">
        <v>570</v>
      </c>
      <c r="C416" t="s">
        <v>139</v>
      </c>
      <c r="D416" s="1">
        <v>18.2</v>
      </c>
      <c r="E416" s="2">
        <v>3.7</v>
      </c>
      <c r="F416" s="2">
        <v>67.34</v>
      </c>
      <c r="G416" t="s">
        <v>572</v>
      </c>
      <c r="H416">
        <f ca="1">IF(67.34&lt;&gt;67.34,0,0)</f>
        <v>0</v>
      </c>
      <c r="I416" t="s">
        <v>14</v>
      </c>
      <c r="J416" t="s">
        <v>14</v>
      </c>
    </row>
    <row r="417" spans="1:10">
      <c r="A417" t="s">
        <v>610</v>
      </c>
      <c r="B417" t="s">
        <v>570</v>
      </c>
      <c r="C417" t="s">
        <v>108</v>
      </c>
      <c r="D417" s="1">
        <v>18.12</v>
      </c>
      <c r="E417" s="2">
        <v>5.7</v>
      </c>
      <c r="F417" s="2">
        <v>103.28</v>
      </c>
      <c r="G417" t="s">
        <v>572</v>
      </c>
      <c r="H417">
        <f ca="1">IF(103.28&lt;&gt;103.28,0,0)</f>
        <v>0</v>
      </c>
      <c r="I417" t="s">
        <v>14</v>
      </c>
      <c r="J417" t="s">
        <v>14</v>
      </c>
    </row>
    <row r="418" spans="1:10">
      <c r="A418" t="s">
        <v>611</v>
      </c>
      <c r="B418" t="s">
        <v>570</v>
      </c>
      <c r="C418" t="s">
        <v>144</v>
      </c>
      <c r="D418" s="1">
        <v>18.23</v>
      </c>
      <c r="E418" s="2">
        <v>6.4</v>
      </c>
      <c r="F418" s="2">
        <v>116.67</v>
      </c>
      <c r="G418" t="s">
        <v>572</v>
      </c>
      <c r="H418">
        <f ca="1">IF(116.67&lt;&gt;116.67,0,0)</f>
        <v>0</v>
      </c>
      <c r="I418" t="s">
        <v>14</v>
      </c>
      <c r="J418" t="s">
        <v>14</v>
      </c>
    </row>
    <row r="419" spans="1:10">
      <c r="A419" t="s">
        <v>612</v>
      </c>
      <c r="B419" t="s">
        <v>570</v>
      </c>
      <c r="C419" t="s">
        <v>102</v>
      </c>
      <c r="D419" s="1">
        <v>18.28</v>
      </c>
      <c r="E419" s="2">
        <v>4.55</v>
      </c>
      <c r="F419" s="2">
        <v>83.17</v>
      </c>
      <c r="G419" t="s">
        <v>572</v>
      </c>
      <c r="H419">
        <f ca="1">IF(83.17&lt;&gt;83.17,0,0)</f>
        <v>0</v>
      </c>
      <c r="I419" t="s">
        <v>14</v>
      </c>
      <c r="J419" t="s">
        <v>14</v>
      </c>
    </row>
    <row r="420" spans="1:10">
      <c r="A420" t="s">
        <v>613</v>
      </c>
      <c r="B420" t="s">
        <v>570</v>
      </c>
      <c r="C420" t="s">
        <v>94</v>
      </c>
      <c r="D420" s="1">
        <v>18.15</v>
      </c>
      <c r="E420" s="2">
        <v>3.7</v>
      </c>
      <c r="F420" s="2">
        <v>67.16</v>
      </c>
      <c r="G420" t="s">
        <v>572</v>
      </c>
      <c r="H420">
        <f ca="1">IF(67.16&lt;&gt;67.16,0,0)</f>
        <v>0</v>
      </c>
      <c r="I420" t="s">
        <v>14</v>
      </c>
      <c r="J420" t="s">
        <v>14</v>
      </c>
    </row>
    <row r="421" spans="1:10">
      <c r="A421" t="s">
        <v>614</v>
      </c>
      <c r="B421" t="s">
        <v>570</v>
      </c>
      <c r="C421" t="s">
        <v>110</v>
      </c>
      <c r="D421" s="1">
        <v>18.26</v>
      </c>
      <c r="E421" s="2">
        <v>6.2</v>
      </c>
      <c r="F421" s="2">
        <v>113.21</v>
      </c>
      <c r="G421" t="s">
        <v>572</v>
      </c>
      <c r="H421">
        <f ca="1">IF(113.21&lt;&gt;113.21,0,0)</f>
        <v>0</v>
      </c>
      <c r="I421" t="s">
        <v>14</v>
      </c>
      <c r="J421" t="s">
        <v>14</v>
      </c>
    </row>
    <row r="422" spans="1:10">
      <c r="A422" t="s">
        <v>615</v>
      </c>
      <c r="B422" t="s">
        <v>570</v>
      </c>
      <c r="C422" t="s">
        <v>77</v>
      </c>
      <c r="D422" s="1">
        <v>18.18</v>
      </c>
      <c r="E422" s="2">
        <v>3.7</v>
      </c>
      <c r="F422" s="2">
        <v>67.27</v>
      </c>
      <c r="G422" t="s">
        <v>572</v>
      </c>
      <c r="H422">
        <f ca="1">IF(67.27&lt;&gt;67.27,0,0)</f>
        <v>0</v>
      </c>
      <c r="I422" t="s">
        <v>14</v>
      </c>
      <c r="J422" t="s">
        <v>14</v>
      </c>
    </row>
    <row r="423" spans="1:10">
      <c r="A423" t="s">
        <v>616</v>
      </c>
      <c r="B423" t="s">
        <v>570</v>
      </c>
      <c r="C423" t="s">
        <v>617</v>
      </c>
      <c r="D423" s="1">
        <v>18.18</v>
      </c>
      <c r="E423" s="2">
        <v>4.95</v>
      </c>
      <c r="F423" s="2">
        <v>89.99</v>
      </c>
      <c r="G423" t="s">
        <v>572</v>
      </c>
      <c r="H423">
        <f ca="1">IF(89.99&lt;&gt;89.99,0,0)</f>
        <v>0</v>
      </c>
      <c r="I423" t="s">
        <v>14</v>
      </c>
      <c r="J423" t="s">
        <v>14</v>
      </c>
    </row>
    <row r="424" spans="1:10">
      <c r="A424" t="s">
        <v>618</v>
      </c>
      <c r="B424" t="s">
        <v>619</v>
      </c>
      <c r="C424" t="s">
        <v>620</v>
      </c>
      <c r="D424" s="1">
        <v>20.14</v>
      </c>
      <c r="E424" s="2">
        <v>4.2</v>
      </c>
      <c r="F424" s="2">
        <v>84.59</v>
      </c>
      <c r="G424" t="s">
        <v>621</v>
      </c>
      <c r="H424">
        <f ca="1">IF(84.59&lt;&gt;84.59,0,0)</f>
        <v>0</v>
      </c>
      <c r="I424" t="s">
        <v>14</v>
      </c>
      <c r="J424" t="s">
        <v>14</v>
      </c>
    </row>
    <row r="425" spans="1:10">
      <c r="A425" t="s">
        <v>622</v>
      </c>
      <c r="B425" t="s">
        <v>619</v>
      </c>
      <c r="C425" t="s">
        <v>592</v>
      </c>
      <c r="D425" s="1">
        <v>20.14</v>
      </c>
      <c r="E425" s="2">
        <v>4.55</v>
      </c>
      <c r="F425" s="2">
        <v>91.64</v>
      </c>
      <c r="G425" t="s">
        <v>621</v>
      </c>
      <c r="H425">
        <f ca="1">IF(91.64&lt;&gt;91.64,0,0)</f>
        <v>0</v>
      </c>
      <c r="I425" t="s">
        <v>14</v>
      </c>
      <c r="J425" t="s">
        <v>14</v>
      </c>
    </row>
    <row r="426" spans="1:10">
      <c r="A426" t="s">
        <v>623</v>
      </c>
      <c r="B426" t="s">
        <v>619</v>
      </c>
      <c r="C426" t="s">
        <v>178</v>
      </c>
      <c r="D426" s="1">
        <v>20.07</v>
      </c>
      <c r="E426" s="2">
        <v>7.45</v>
      </c>
      <c r="F426" s="2">
        <v>149.52</v>
      </c>
      <c r="G426" t="s">
        <v>621</v>
      </c>
      <c r="H426">
        <f ca="1">IF(149.52&lt;&gt;149.52,0,0)</f>
        <v>0</v>
      </c>
      <c r="I426" t="s">
        <v>14</v>
      </c>
      <c r="J426" t="s">
        <v>14</v>
      </c>
    </row>
    <row r="427" spans="1:10">
      <c r="A427" t="s">
        <v>624</v>
      </c>
      <c r="B427" t="s">
        <v>619</v>
      </c>
      <c r="C427" t="s">
        <v>625</v>
      </c>
      <c r="D427" s="1">
        <v>19.92</v>
      </c>
      <c r="E427" s="2">
        <v>5.15</v>
      </c>
      <c r="F427" s="2">
        <v>102.59</v>
      </c>
      <c r="G427" t="s">
        <v>621</v>
      </c>
      <c r="H427">
        <f ca="1">IF(102.59&lt;&gt;102.59,0,0)</f>
        <v>0</v>
      </c>
      <c r="I427" t="s">
        <v>14</v>
      </c>
      <c r="J427" t="s">
        <v>14</v>
      </c>
    </row>
    <row r="428" spans="1:10">
      <c r="A428" t="s">
        <v>626</v>
      </c>
      <c r="B428" t="s">
        <v>619</v>
      </c>
      <c r="C428" t="s">
        <v>627</v>
      </c>
      <c r="D428" s="1">
        <v>19.89</v>
      </c>
      <c r="E428" s="2">
        <v>4.2</v>
      </c>
      <c r="F428" s="2">
        <v>83.54</v>
      </c>
      <c r="G428" t="s">
        <v>621</v>
      </c>
      <c r="H428">
        <f ca="1">IF(83.54&lt;&gt;83.54,0,0)</f>
        <v>0</v>
      </c>
      <c r="I428" t="s">
        <v>14</v>
      </c>
      <c r="J428" t="s">
        <v>14</v>
      </c>
    </row>
    <row r="429" spans="1:10">
      <c r="A429" t="s">
        <v>628</v>
      </c>
      <c r="B429" t="s">
        <v>619</v>
      </c>
      <c r="C429" t="s">
        <v>135</v>
      </c>
      <c r="D429" s="1">
        <v>19.95</v>
      </c>
      <c r="E429" s="2">
        <v>5.7</v>
      </c>
      <c r="F429" s="2">
        <v>113.72</v>
      </c>
      <c r="G429" t="s">
        <v>621</v>
      </c>
      <c r="H429">
        <f ca="1">IF(113.72&lt;&gt;113.72,0,0)</f>
        <v>0</v>
      </c>
      <c r="I429" t="s">
        <v>14</v>
      </c>
      <c r="J429" t="s">
        <v>14</v>
      </c>
    </row>
    <row r="430" spans="1:10">
      <c r="A430" t="s">
        <v>629</v>
      </c>
      <c r="B430" t="s">
        <v>619</v>
      </c>
      <c r="C430" t="s">
        <v>630</v>
      </c>
      <c r="D430" s="1">
        <v>19.89</v>
      </c>
      <c r="E430" s="2">
        <v>5.45</v>
      </c>
      <c r="F430" s="2">
        <v>108.4</v>
      </c>
      <c r="G430" t="s">
        <v>621</v>
      </c>
      <c r="H430">
        <f ca="1">IF(108.4&lt;&gt;108.4,0,0)</f>
        <v>0</v>
      </c>
      <c r="I430" t="s">
        <v>14</v>
      </c>
      <c r="J430" t="s">
        <v>14</v>
      </c>
    </row>
    <row r="431" spans="1:10">
      <c r="A431" t="s">
        <v>631</v>
      </c>
      <c r="B431" t="s">
        <v>619</v>
      </c>
      <c r="C431" t="s">
        <v>106</v>
      </c>
      <c r="D431" s="1">
        <v>19.78</v>
      </c>
      <c r="E431" s="2">
        <v>4.55</v>
      </c>
      <c r="F431" s="2">
        <v>90</v>
      </c>
      <c r="G431" t="s">
        <v>621</v>
      </c>
      <c r="H431">
        <f ca="1">IF(90&lt;&gt;90,0,0)</f>
        <v>0</v>
      </c>
      <c r="I431" t="s">
        <v>14</v>
      </c>
      <c r="J431" t="s">
        <v>14</v>
      </c>
    </row>
    <row r="432" spans="1:10">
      <c r="A432" t="s">
        <v>632</v>
      </c>
      <c r="B432" t="s">
        <v>619</v>
      </c>
      <c r="C432" t="s">
        <v>633</v>
      </c>
      <c r="D432" s="1">
        <v>19.89</v>
      </c>
      <c r="E432" s="2">
        <v>3.7</v>
      </c>
      <c r="F432" s="2">
        <v>73.59</v>
      </c>
      <c r="G432" t="s">
        <v>621</v>
      </c>
      <c r="H432">
        <f ca="1">IF(73.59&lt;&gt;73.59,0,0)</f>
        <v>0</v>
      </c>
      <c r="I432" t="s">
        <v>14</v>
      </c>
      <c r="J432" t="s">
        <v>14</v>
      </c>
    </row>
    <row r="433" spans="1:10">
      <c r="A433" t="s">
        <v>634</v>
      </c>
      <c r="B433" t="s">
        <v>619</v>
      </c>
      <c r="C433" t="s">
        <v>84</v>
      </c>
      <c r="D433" s="1">
        <v>19.85</v>
      </c>
      <c r="E433" s="2">
        <v>6.4</v>
      </c>
      <c r="F433" s="2">
        <v>127.04</v>
      </c>
      <c r="G433" t="s">
        <v>621</v>
      </c>
      <c r="H433">
        <f ca="1">IF(127.04&lt;&gt;127.04,0,0)</f>
        <v>0</v>
      </c>
      <c r="I433" t="s">
        <v>14</v>
      </c>
      <c r="J433" t="s">
        <v>14</v>
      </c>
    </row>
    <row r="434" spans="1:10">
      <c r="A434" t="s">
        <v>635</v>
      </c>
      <c r="B434" t="s">
        <v>619</v>
      </c>
      <c r="C434" t="s">
        <v>77</v>
      </c>
      <c r="D434" s="1">
        <v>19.89</v>
      </c>
      <c r="E434" s="2">
        <v>3.7</v>
      </c>
      <c r="F434" s="2">
        <v>73.59</v>
      </c>
      <c r="G434" t="s">
        <v>621</v>
      </c>
      <c r="H434">
        <f ca="1">IF(73.59&lt;&gt;73.59,0,0)</f>
        <v>0</v>
      </c>
      <c r="I434" t="s">
        <v>14</v>
      </c>
      <c r="J434" t="s">
        <v>14</v>
      </c>
    </row>
    <row r="435" spans="1:10">
      <c r="A435" t="s">
        <v>636</v>
      </c>
      <c r="B435" t="s">
        <v>619</v>
      </c>
      <c r="C435" t="s">
        <v>183</v>
      </c>
      <c r="D435" s="1">
        <v>19.93</v>
      </c>
      <c r="E435" s="2">
        <v>4.2</v>
      </c>
      <c r="F435" s="2">
        <v>83.71</v>
      </c>
      <c r="G435" t="s">
        <v>621</v>
      </c>
      <c r="H435">
        <f ca="1">IF(83.71&lt;&gt;83.71,0,0)</f>
        <v>0</v>
      </c>
      <c r="I435" t="s">
        <v>14</v>
      </c>
      <c r="J435" t="s">
        <v>14</v>
      </c>
    </row>
    <row r="436" spans="1:10">
      <c r="A436" t="s">
        <v>637</v>
      </c>
      <c r="B436" t="s">
        <v>619</v>
      </c>
      <c r="C436" t="s">
        <v>638</v>
      </c>
      <c r="D436" s="1">
        <v>19.9</v>
      </c>
      <c r="E436" s="2">
        <v>5.15</v>
      </c>
      <c r="F436" s="2">
        <v>102.49</v>
      </c>
      <c r="G436" t="s">
        <v>621</v>
      </c>
      <c r="H436">
        <f ca="1">IF(102.49&lt;&gt;102.48,0.009999999999990905,0)</f>
        <v>0</v>
      </c>
      <c r="I436" t="s">
        <v>14</v>
      </c>
      <c r="J436" t="s">
        <v>14</v>
      </c>
    </row>
    <row r="437" spans="1:10">
      <c r="A437" t="s">
        <v>639</v>
      </c>
      <c r="B437" t="s">
        <v>619</v>
      </c>
      <c r="C437" t="s">
        <v>86</v>
      </c>
      <c r="D437" s="1">
        <v>19.82</v>
      </c>
      <c r="E437" s="2">
        <v>5.95</v>
      </c>
      <c r="F437" s="2">
        <v>117.93</v>
      </c>
      <c r="G437" t="s">
        <v>621</v>
      </c>
      <c r="H437">
        <f ca="1">IF(117.93&lt;&gt;117.93,0,0)</f>
        <v>0</v>
      </c>
      <c r="I437" t="s">
        <v>14</v>
      </c>
      <c r="J437" t="s">
        <v>14</v>
      </c>
    </row>
    <row r="438" spans="1:10">
      <c r="A438" t="s">
        <v>640</v>
      </c>
      <c r="B438" t="s">
        <v>619</v>
      </c>
      <c r="C438" t="s">
        <v>641</v>
      </c>
      <c r="D438" s="1">
        <v>19.87</v>
      </c>
      <c r="E438" s="2">
        <v>4.2</v>
      </c>
      <c r="F438" s="2">
        <v>83.45</v>
      </c>
      <c r="G438" t="s">
        <v>621</v>
      </c>
      <c r="H438">
        <f ca="1">IF(83.45&lt;&gt;83.45,0,0)</f>
        <v>0</v>
      </c>
      <c r="I438" t="s">
        <v>14</v>
      </c>
      <c r="J438" t="s">
        <v>14</v>
      </c>
    </row>
    <row r="439" spans="1:10">
      <c r="A439" t="s">
        <v>642</v>
      </c>
      <c r="B439" t="s">
        <v>619</v>
      </c>
      <c r="C439" t="s">
        <v>106</v>
      </c>
      <c r="D439" s="1">
        <v>19.91</v>
      </c>
      <c r="E439" s="2">
        <v>4.55</v>
      </c>
      <c r="F439" s="2">
        <v>90.59</v>
      </c>
      <c r="G439" t="s">
        <v>621</v>
      </c>
      <c r="H439">
        <f ca="1">IF(90.59&lt;&gt;90.59,0,0)</f>
        <v>0</v>
      </c>
      <c r="I439" t="s">
        <v>14</v>
      </c>
      <c r="J439" t="s">
        <v>14</v>
      </c>
    </row>
    <row r="440" spans="1:10">
      <c r="A440" t="s">
        <v>643</v>
      </c>
      <c r="B440" t="s">
        <v>619</v>
      </c>
      <c r="C440" t="s">
        <v>638</v>
      </c>
      <c r="D440" s="1">
        <v>20</v>
      </c>
      <c r="E440" s="2">
        <v>5.15</v>
      </c>
      <c r="F440" s="2">
        <v>103</v>
      </c>
      <c r="G440" t="s">
        <v>621</v>
      </c>
      <c r="H440">
        <f ca="1">IF(103&lt;&gt;103,0,0)</f>
        <v>0</v>
      </c>
      <c r="I440" t="s">
        <v>14</v>
      </c>
      <c r="J440" t="s">
        <v>14</v>
      </c>
    </row>
    <row r="441" spans="1:10">
      <c r="A441" t="s">
        <v>644</v>
      </c>
      <c r="B441" t="s">
        <v>619</v>
      </c>
      <c r="C441" t="s">
        <v>77</v>
      </c>
      <c r="D441" s="1">
        <v>19.95</v>
      </c>
      <c r="E441" s="2">
        <v>3.7</v>
      </c>
      <c r="F441" s="2">
        <v>73.82</v>
      </c>
      <c r="G441" t="s">
        <v>621</v>
      </c>
      <c r="H441">
        <f ca="1">IF(73.82&lt;&gt;73.82,0,0)</f>
        <v>0</v>
      </c>
      <c r="I441" t="s">
        <v>14</v>
      </c>
      <c r="J441" t="s">
        <v>14</v>
      </c>
    </row>
    <row r="442" spans="1:10">
      <c r="A442" t="s">
        <v>645</v>
      </c>
      <c r="B442" t="s">
        <v>619</v>
      </c>
      <c r="C442" t="s">
        <v>88</v>
      </c>
      <c r="D442" s="1">
        <v>19.89</v>
      </c>
      <c r="E442" s="2">
        <v>5.7</v>
      </c>
      <c r="F442" s="2">
        <v>113.37</v>
      </c>
      <c r="G442" t="s">
        <v>621</v>
      </c>
      <c r="H442">
        <f ca="1">IF(113.37&lt;&gt;113.37,0,0)</f>
        <v>0</v>
      </c>
      <c r="I442" t="s">
        <v>14</v>
      </c>
      <c r="J442" t="s">
        <v>14</v>
      </c>
    </row>
    <row r="443" spans="1:10">
      <c r="A443" t="s">
        <v>646</v>
      </c>
      <c r="B443" t="s">
        <v>619</v>
      </c>
      <c r="C443" t="s">
        <v>94</v>
      </c>
      <c r="D443" s="1">
        <v>19.88</v>
      </c>
      <c r="E443" s="2">
        <v>3.7</v>
      </c>
      <c r="F443" s="2">
        <v>73.56</v>
      </c>
      <c r="G443" t="s">
        <v>621</v>
      </c>
      <c r="H443">
        <f ca="1">IF(73.56&lt;&gt;73.56,0,0)</f>
        <v>0</v>
      </c>
      <c r="I443" t="s">
        <v>14</v>
      </c>
      <c r="J443" t="s">
        <v>14</v>
      </c>
    </row>
    <row r="444" spans="1:10">
      <c r="A444" t="s">
        <v>647</v>
      </c>
      <c r="B444" t="s">
        <v>619</v>
      </c>
      <c r="C444" t="s">
        <v>183</v>
      </c>
      <c r="D444" s="1">
        <v>19.85</v>
      </c>
      <c r="E444" s="2">
        <v>4.2</v>
      </c>
      <c r="F444" s="2">
        <v>83.37</v>
      </c>
      <c r="G444" t="s">
        <v>621</v>
      </c>
      <c r="H444">
        <f ca="1">IF(83.37&lt;&gt;83.37,0,0)</f>
        <v>0</v>
      </c>
      <c r="I444" t="s">
        <v>14</v>
      </c>
      <c r="J444" t="s">
        <v>14</v>
      </c>
    </row>
    <row r="445" spans="1:10">
      <c r="A445" t="s">
        <v>648</v>
      </c>
      <c r="B445" t="s">
        <v>619</v>
      </c>
      <c r="C445" t="s">
        <v>92</v>
      </c>
      <c r="D445" s="1">
        <v>1</v>
      </c>
      <c r="E445" s="2">
        <v>40</v>
      </c>
      <c r="F445" s="2">
        <v>40</v>
      </c>
      <c r="G445" t="s">
        <v>621</v>
      </c>
      <c r="H445">
        <f ca="1">IF(40&lt;&gt;40,0,0)</f>
        <v>0</v>
      </c>
      <c r="I445" t="s">
        <v>14</v>
      </c>
      <c r="J445" t="s">
        <v>14</v>
      </c>
    </row>
    <row r="446" spans="1:10">
      <c r="A446" t="s">
        <v>649</v>
      </c>
      <c r="B446" t="s">
        <v>619</v>
      </c>
      <c r="C446" t="s">
        <v>92</v>
      </c>
      <c r="D446" s="1">
        <v>12.07</v>
      </c>
      <c r="E446" s="2">
        <v>6.2</v>
      </c>
      <c r="F446" s="2">
        <v>74.83</v>
      </c>
      <c r="G446" t="s">
        <v>621</v>
      </c>
      <c r="H446">
        <f ca="1">IF(74.83&lt;&gt;74.83,0,0)</f>
        <v>0</v>
      </c>
      <c r="I446" t="s">
        <v>14</v>
      </c>
      <c r="J446" t="s">
        <v>14</v>
      </c>
    </row>
    <row r="447" spans="1:10">
      <c r="A447" t="s">
        <v>650</v>
      </c>
      <c r="B447" t="s">
        <v>619</v>
      </c>
      <c r="C447" t="s">
        <v>183</v>
      </c>
      <c r="D447" s="1">
        <v>19.9</v>
      </c>
      <c r="E447" s="2">
        <v>4.2</v>
      </c>
      <c r="F447" s="2">
        <v>83.58</v>
      </c>
      <c r="G447" t="s">
        <v>621</v>
      </c>
      <c r="H447">
        <f ca="1">IF(83.58&lt;&gt;83.58,0,0)</f>
        <v>0</v>
      </c>
      <c r="I447" t="s">
        <v>14</v>
      </c>
      <c r="J447" t="s">
        <v>14</v>
      </c>
    </row>
    <row r="448" spans="1:10">
      <c r="A448" t="s">
        <v>651</v>
      </c>
      <c r="B448" t="s">
        <v>619</v>
      </c>
      <c r="C448" t="s">
        <v>110</v>
      </c>
      <c r="D448" s="1">
        <v>19.96</v>
      </c>
      <c r="E448" s="2">
        <v>6.2</v>
      </c>
      <c r="F448" s="2">
        <v>123.75</v>
      </c>
      <c r="G448" t="s">
        <v>621</v>
      </c>
      <c r="H448">
        <f ca="1">IF(123.75&lt;&gt;123.75,0,0)</f>
        <v>0</v>
      </c>
      <c r="I448" t="s">
        <v>14</v>
      </c>
      <c r="J448" t="s">
        <v>14</v>
      </c>
    </row>
    <row r="449" spans="1:10">
      <c r="A449" t="s">
        <v>652</v>
      </c>
      <c r="B449" t="s">
        <v>619</v>
      </c>
      <c r="C449" t="s">
        <v>653</v>
      </c>
      <c r="D449" s="1">
        <v>19.99</v>
      </c>
      <c r="E449" s="2">
        <v>4.4</v>
      </c>
      <c r="F449" s="2">
        <v>87.96</v>
      </c>
      <c r="G449" t="s">
        <v>621</v>
      </c>
      <c r="H449">
        <f ca="1">IF(87.96&lt;&gt;87.96,0,0)</f>
        <v>0</v>
      </c>
      <c r="I449" t="s">
        <v>14</v>
      </c>
      <c r="J449" t="s">
        <v>14</v>
      </c>
    </row>
    <row r="450" spans="1:10">
      <c r="A450" t="s">
        <v>654</v>
      </c>
      <c r="B450" t="s">
        <v>619</v>
      </c>
      <c r="C450" t="s">
        <v>108</v>
      </c>
      <c r="D450" s="1">
        <v>19.89</v>
      </c>
      <c r="E450" s="2">
        <v>5.7</v>
      </c>
      <c r="F450" s="2">
        <v>113.37</v>
      </c>
      <c r="G450" t="s">
        <v>621</v>
      </c>
      <c r="H450">
        <f ca="1">IF(113.37&lt;&gt;113.37,0,0)</f>
        <v>0</v>
      </c>
      <c r="I450" t="s">
        <v>14</v>
      </c>
      <c r="J450" t="s">
        <v>14</v>
      </c>
    </row>
    <row r="451" spans="1:10">
      <c r="A451" t="s">
        <v>655</v>
      </c>
      <c r="B451" t="s">
        <v>619</v>
      </c>
      <c r="C451" t="s">
        <v>94</v>
      </c>
      <c r="D451" s="1">
        <v>19.96</v>
      </c>
      <c r="E451" s="2">
        <v>3.7</v>
      </c>
      <c r="F451" s="2">
        <v>73.85</v>
      </c>
      <c r="G451" t="s">
        <v>621</v>
      </c>
      <c r="H451">
        <f ca="1">IF(73.85&lt;&gt;73.85,0,0)</f>
        <v>0</v>
      </c>
      <c r="I451" t="s">
        <v>14</v>
      </c>
      <c r="J451" t="s">
        <v>14</v>
      </c>
    </row>
    <row r="452" spans="1:10">
      <c r="A452" t="s">
        <v>656</v>
      </c>
      <c r="B452" t="s">
        <v>619</v>
      </c>
      <c r="C452" t="s">
        <v>108</v>
      </c>
      <c r="D452" s="1">
        <v>19.91</v>
      </c>
      <c r="E452" s="2">
        <v>5.7</v>
      </c>
      <c r="F452" s="2">
        <v>113.49</v>
      </c>
      <c r="G452" t="s">
        <v>621</v>
      </c>
      <c r="H452">
        <f ca="1">IF(113.49&lt;&gt;113.49,0,0)</f>
        <v>0</v>
      </c>
      <c r="I452" t="s">
        <v>14</v>
      </c>
      <c r="J452" t="s">
        <v>14</v>
      </c>
    </row>
    <row r="453" spans="1:10">
      <c r="A453" t="s">
        <v>657</v>
      </c>
      <c r="B453" t="s">
        <v>619</v>
      </c>
      <c r="C453" t="s">
        <v>108</v>
      </c>
      <c r="D453" s="1">
        <v>19.83</v>
      </c>
      <c r="E453" s="2">
        <v>5.7</v>
      </c>
      <c r="F453" s="2">
        <v>113.03</v>
      </c>
      <c r="G453" t="s">
        <v>621</v>
      </c>
      <c r="H453">
        <f ca="1">IF(113.03&lt;&gt;113.03,0,0)</f>
        <v>0</v>
      </c>
      <c r="I453" t="s">
        <v>14</v>
      </c>
      <c r="J453" t="s">
        <v>14</v>
      </c>
    </row>
    <row r="454" spans="1:10">
      <c r="A454" t="s">
        <v>658</v>
      </c>
      <c r="B454" t="s">
        <v>619</v>
      </c>
      <c r="C454" t="s">
        <v>94</v>
      </c>
      <c r="D454" s="1">
        <v>19.77</v>
      </c>
      <c r="E454" s="2">
        <v>3.7</v>
      </c>
      <c r="F454" s="2">
        <v>73.15</v>
      </c>
      <c r="G454" t="s">
        <v>621</v>
      </c>
      <c r="H454">
        <f ca="1">IF(73.15&lt;&gt;73.15,0,0)</f>
        <v>0</v>
      </c>
      <c r="I454" t="s">
        <v>14</v>
      </c>
      <c r="J454" t="s">
        <v>14</v>
      </c>
    </row>
    <row r="455" spans="1:10">
      <c r="A455" t="s">
        <v>659</v>
      </c>
      <c r="B455" t="s">
        <v>619</v>
      </c>
      <c r="C455" t="s">
        <v>638</v>
      </c>
      <c r="D455" s="1">
        <v>19.88</v>
      </c>
      <c r="E455" s="2">
        <v>5.15</v>
      </c>
      <c r="F455" s="2">
        <v>102.38</v>
      </c>
      <c r="G455" t="s">
        <v>621</v>
      </c>
      <c r="H455">
        <f ca="1">IF(102.38&lt;&gt;102.38,0,0)</f>
        <v>0</v>
      </c>
      <c r="I455" t="s">
        <v>14</v>
      </c>
      <c r="J455" t="s">
        <v>14</v>
      </c>
    </row>
    <row r="456" spans="1:10">
      <c r="A456" t="s">
        <v>660</v>
      </c>
      <c r="B456" t="s">
        <v>619</v>
      </c>
      <c r="C456" t="s">
        <v>661</v>
      </c>
      <c r="D456" s="1">
        <v>19.88</v>
      </c>
      <c r="E456" s="2">
        <v>5.7</v>
      </c>
      <c r="F456" s="2">
        <v>113.32</v>
      </c>
      <c r="G456" t="s">
        <v>621</v>
      </c>
      <c r="H456">
        <f ca="1">IF(113.32&lt;&gt;113.32,0,0)</f>
        <v>0</v>
      </c>
      <c r="I456" t="s">
        <v>14</v>
      </c>
      <c r="J456" t="s">
        <v>14</v>
      </c>
    </row>
    <row r="457" spans="1:10">
      <c r="A457" t="s">
        <v>662</v>
      </c>
      <c r="B457" t="s">
        <v>619</v>
      </c>
      <c r="C457" t="s">
        <v>118</v>
      </c>
      <c r="D457" s="1">
        <v>20.01</v>
      </c>
      <c r="E457" s="2">
        <v>5.15</v>
      </c>
      <c r="F457" s="2">
        <v>103.05</v>
      </c>
      <c r="G457" t="s">
        <v>621</v>
      </c>
      <c r="H457">
        <f ca="1">IF(103.05&lt;&gt;103.05,0,0)</f>
        <v>0</v>
      </c>
      <c r="I457" t="s">
        <v>14</v>
      </c>
      <c r="J457" t="s">
        <v>14</v>
      </c>
    </row>
    <row r="458" spans="1:10">
      <c r="A458" t="s">
        <v>663</v>
      </c>
      <c r="B458" t="s">
        <v>619</v>
      </c>
      <c r="C458" t="s">
        <v>664</v>
      </c>
      <c r="D458" s="1">
        <v>20.16</v>
      </c>
      <c r="E458" s="2">
        <v>6.95</v>
      </c>
      <c r="F458" s="2">
        <v>140.11</v>
      </c>
      <c r="G458" t="s">
        <v>621</v>
      </c>
      <c r="H458">
        <f ca="1">IF(140.11&lt;&gt;140.11,0,0)</f>
        <v>0</v>
      </c>
      <c r="I458" t="s">
        <v>14</v>
      </c>
      <c r="J458" t="s">
        <v>14</v>
      </c>
    </row>
    <row r="459" spans="1:10">
      <c r="A459" t="s">
        <v>665</v>
      </c>
      <c r="B459" t="s">
        <v>619</v>
      </c>
      <c r="C459" t="s">
        <v>666</v>
      </c>
      <c r="D459" s="1">
        <v>20.08</v>
      </c>
      <c r="E459" s="2">
        <v>5.95</v>
      </c>
      <c r="F459" s="2">
        <v>119.48</v>
      </c>
      <c r="G459" t="s">
        <v>621</v>
      </c>
      <c r="H459">
        <f ca="1">IF(119.48&lt;&gt;119.48,0,0)</f>
        <v>0</v>
      </c>
      <c r="I459" t="s">
        <v>14</v>
      </c>
      <c r="J459" t="s">
        <v>14</v>
      </c>
    </row>
    <row r="460" spans="1:10">
      <c r="A460" t="s">
        <v>667</v>
      </c>
      <c r="B460" t="s">
        <v>619</v>
      </c>
      <c r="C460" t="s">
        <v>668</v>
      </c>
      <c r="D460" s="1">
        <v>20.11</v>
      </c>
      <c r="E460" s="2">
        <v>4.3</v>
      </c>
      <c r="F460" s="2">
        <v>86.47</v>
      </c>
      <c r="G460" t="s">
        <v>621</v>
      </c>
      <c r="H460">
        <f ca="1">IF(86.47&lt;&gt;86.47,0,0)</f>
        <v>0</v>
      </c>
      <c r="I460" t="s">
        <v>14</v>
      </c>
      <c r="J460" t="s">
        <v>14</v>
      </c>
    </row>
    <row r="461" spans="1:10">
      <c r="A461" t="s">
        <v>669</v>
      </c>
      <c r="B461" t="s">
        <v>619</v>
      </c>
      <c r="C461" t="s">
        <v>670</v>
      </c>
      <c r="D461" s="1">
        <v>20.14</v>
      </c>
      <c r="E461" s="2">
        <v>5.95</v>
      </c>
      <c r="F461" s="2">
        <v>119.83</v>
      </c>
      <c r="G461" t="s">
        <v>621</v>
      </c>
      <c r="H461">
        <f ca="1">IF(119.83&lt;&gt;119.83,0,0)</f>
        <v>0</v>
      </c>
      <c r="I461" t="s">
        <v>14</v>
      </c>
      <c r="J461" t="s">
        <v>14</v>
      </c>
    </row>
    <row r="462" spans="1:10">
      <c r="A462" t="s">
        <v>671</v>
      </c>
      <c r="B462" t="s">
        <v>619</v>
      </c>
      <c r="C462" t="s">
        <v>672</v>
      </c>
      <c r="D462" s="1">
        <v>20.05</v>
      </c>
      <c r="E462" s="2">
        <v>5.7</v>
      </c>
      <c r="F462" s="2">
        <v>114.29</v>
      </c>
      <c r="G462" t="s">
        <v>621</v>
      </c>
      <c r="H462">
        <f ca="1">IF(114.29&lt;&gt;114.29,0,0)</f>
        <v>0</v>
      </c>
      <c r="I462" t="s">
        <v>14</v>
      </c>
      <c r="J462" t="s">
        <v>14</v>
      </c>
    </row>
    <row r="463" spans="1:10">
      <c r="A463" t="s">
        <v>673</v>
      </c>
      <c r="B463" t="s">
        <v>674</v>
      </c>
      <c r="C463" t="s">
        <v>302</v>
      </c>
      <c r="D463" s="1">
        <v>18.99</v>
      </c>
      <c r="E463" s="2">
        <v>4.2</v>
      </c>
      <c r="F463" s="2">
        <v>79.76</v>
      </c>
      <c r="G463" t="s">
        <v>675</v>
      </c>
      <c r="H463">
        <f ca="1">IF(79.76&lt;&gt;79.76,0,0)</f>
        <v>0</v>
      </c>
      <c r="I463" t="s">
        <v>14</v>
      </c>
      <c r="J463" t="s">
        <v>14</v>
      </c>
    </row>
    <row r="464" spans="1:10">
      <c r="A464" t="s">
        <v>676</v>
      </c>
      <c r="B464" t="s">
        <v>674</v>
      </c>
      <c r="C464" t="s">
        <v>318</v>
      </c>
      <c r="D464" s="1">
        <v>19</v>
      </c>
      <c r="E464" s="2">
        <v>4.2</v>
      </c>
      <c r="F464" s="2">
        <v>79.8</v>
      </c>
      <c r="G464" t="s">
        <v>675</v>
      </c>
      <c r="H464">
        <f ca="1">IF(79.8&lt;&gt;79.8,0,0)</f>
        <v>0</v>
      </c>
      <c r="I464" t="s">
        <v>14</v>
      </c>
      <c r="J464" t="s">
        <v>14</v>
      </c>
    </row>
    <row r="465" spans="1:10">
      <c r="A465" t="s">
        <v>677</v>
      </c>
      <c r="B465" t="s">
        <v>674</v>
      </c>
      <c r="C465" t="s">
        <v>339</v>
      </c>
      <c r="D465" s="1">
        <v>18.97</v>
      </c>
      <c r="E465" s="2">
        <v>4.2</v>
      </c>
      <c r="F465" s="2">
        <v>79.67</v>
      </c>
      <c r="G465" t="s">
        <v>675</v>
      </c>
      <c r="H465">
        <f ca="1">IF(79.67&lt;&gt;79.67,0,0)</f>
        <v>0</v>
      </c>
      <c r="I465" t="s">
        <v>14</v>
      </c>
      <c r="J465" t="s">
        <v>14</v>
      </c>
    </row>
    <row r="466" spans="1:10">
      <c r="A466" t="s">
        <v>678</v>
      </c>
      <c r="B466" t="s">
        <v>674</v>
      </c>
      <c r="C466" t="s">
        <v>679</v>
      </c>
      <c r="D466" s="1">
        <v>18.95</v>
      </c>
      <c r="E466" s="2">
        <v>3.7</v>
      </c>
      <c r="F466" s="2">
        <v>70.12</v>
      </c>
      <c r="G466" t="s">
        <v>675</v>
      </c>
      <c r="H466">
        <f ca="1">IF(70.12&lt;&gt;70.11,0.010000000000005116,0)</f>
        <v>0</v>
      </c>
      <c r="I466" t="s">
        <v>14</v>
      </c>
      <c r="J466" t="s">
        <v>14</v>
      </c>
    </row>
    <row r="467" spans="1:10">
      <c r="A467" t="s">
        <v>680</v>
      </c>
      <c r="B467" t="s">
        <v>674</v>
      </c>
      <c r="C467" t="s">
        <v>309</v>
      </c>
      <c r="D467" s="1">
        <v>18.95</v>
      </c>
      <c r="E467" s="2">
        <v>4.55</v>
      </c>
      <c r="F467" s="2">
        <v>86.22</v>
      </c>
      <c r="G467" t="s">
        <v>675</v>
      </c>
      <c r="H467">
        <f ca="1">IF(86.22&lt;&gt;86.22,0,0)</f>
        <v>0</v>
      </c>
      <c r="I467" t="s">
        <v>14</v>
      </c>
      <c r="J467" t="s">
        <v>14</v>
      </c>
    </row>
    <row r="468" spans="1:10">
      <c r="A468" t="s">
        <v>681</v>
      </c>
      <c r="B468" t="s">
        <v>674</v>
      </c>
      <c r="C468" t="s">
        <v>302</v>
      </c>
      <c r="D468" s="1">
        <v>18.96</v>
      </c>
      <c r="E468" s="2">
        <v>4.2</v>
      </c>
      <c r="F468" s="2">
        <v>79.63</v>
      </c>
      <c r="G468" t="s">
        <v>675</v>
      </c>
      <c r="H468">
        <f ca="1">IF(79.63&lt;&gt;79.63,0,0)</f>
        <v>0</v>
      </c>
      <c r="I468" t="s">
        <v>14</v>
      </c>
      <c r="J468" t="s">
        <v>14</v>
      </c>
    </row>
    <row r="469" spans="1:10">
      <c r="A469" t="s">
        <v>682</v>
      </c>
      <c r="B469" t="s">
        <v>674</v>
      </c>
      <c r="C469" t="s">
        <v>318</v>
      </c>
      <c r="D469" s="1">
        <v>19.05</v>
      </c>
      <c r="E469" s="2">
        <v>4.2</v>
      </c>
      <c r="F469" s="2">
        <v>80.01</v>
      </c>
      <c r="G469" t="s">
        <v>675</v>
      </c>
      <c r="H469">
        <f ca="1">IF(80.01&lt;&gt;80.01,0,0)</f>
        <v>0</v>
      </c>
      <c r="I469" t="s">
        <v>14</v>
      </c>
      <c r="J469" t="s">
        <v>14</v>
      </c>
    </row>
    <row r="470" spans="1:10">
      <c r="A470" t="s">
        <v>683</v>
      </c>
      <c r="B470" t="s">
        <v>684</v>
      </c>
      <c r="C470" t="s">
        <v>685</v>
      </c>
      <c r="D470" s="1">
        <v>15.73</v>
      </c>
      <c r="E470" s="2">
        <v>5.95</v>
      </c>
      <c r="F470" s="2">
        <v>93.59</v>
      </c>
      <c r="G470" t="s">
        <v>686</v>
      </c>
      <c r="H470">
        <f ca="1">IF(93.59&lt;&gt;93.59,0,0)</f>
        <v>0</v>
      </c>
      <c r="I470" t="s">
        <v>14</v>
      </c>
      <c r="J470" t="s">
        <v>14</v>
      </c>
    </row>
    <row r="471" spans="1:10">
      <c r="A471" t="s">
        <v>687</v>
      </c>
      <c r="B471" t="s">
        <v>684</v>
      </c>
      <c r="C471" t="s">
        <v>688</v>
      </c>
      <c r="D471" s="1">
        <v>15.68</v>
      </c>
      <c r="E471" s="2">
        <v>4.15</v>
      </c>
      <c r="F471" s="2">
        <v>65.07</v>
      </c>
      <c r="G471" t="s">
        <v>686</v>
      </c>
      <c r="H471">
        <f ca="1">IF(65.07&lt;&gt;65.07,0,0)</f>
        <v>0</v>
      </c>
      <c r="I471" t="s">
        <v>14</v>
      </c>
      <c r="J471" t="s">
        <v>14</v>
      </c>
    </row>
    <row r="472" spans="1:10">
      <c r="A472" t="s">
        <v>689</v>
      </c>
      <c r="B472" t="s">
        <v>684</v>
      </c>
      <c r="C472" t="s">
        <v>690</v>
      </c>
      <c r="D472" s="1">
        <v>15.75</v>
      </c>
      <c r="E472" s="2">
        <v>7.55</v>
      </c>
      <c r="F472" s="2">
        <v>118.91</v>
      </c>
      <c r="G472" t="s">
        <v>686</v>
      </c>
      <c r="H472">
        <f ca="1">IF(118.91&lt;&gt;118.91,0,0)</f>
        <v>0</v>
      </c>
      <c r="I472" t="s">
        <v>14</v>
      </c>
      <c r="J472" t="s">
        <v>14</v>
      </c>
    </row>
    <row r="473" spans="1:10">
      <c r="A473" t="s">
        <v>691</v>
      </c>
      <c r="B473" t="s">
        <v>684</v>
      </c>
      <c r="C473" t="s">
        <v>692</v>
      </c>
      <c r="D473" s="1">
        <v>15.74</v>
      </c>
      <c r="E473" s="2">
        <v>4.55</v>
      </c>
      <c r="F473" s="2">
        <v>71.62</v>
      </c>
      <c r="G473" t="s">
        <v>686</v>
      </c>
      <c r="H473">
        <f ca="1">IF(71.62&lt;&gt;71.62,0,0)</f>
        <v>0</v>
      </c>
      <c r="I473" t="s">
        <v>14</v>
      </c>
      <c r="J473" t="s">
        <v>14</v>
      </c>
    </row>
    <row r="474" spans="1:10">
      <c r="A474" t="s">
        <v>693</v>
      </c>
      <c r="B474" t="s">
        <v>684</v>
      </c>
      <c r="C474" t="s">
        <v>685</v>
      </c>
      <c r="D474" s="1">
        <v>15.87</v>
      </c>
      <c r="E474" s="2">
        <v>5.95</v>
      </c>
      <c r="F474" s="2">
        <v>94.43</v>
      </c>
      <c r="G474" t="s">
        <v>686</v>
      </c>
      <c r="H474">
        <f ca="1">IF(94.43&lt;&gt;94.43,0,0)</f>
        <v>0</v>
      </c>
      <c r="I474" t="s">
        <v>14</v>
      </c>
      <c r="J474" t="s">
        <v>14</v>
      </c>
    </row>
    <row r="475" spans="1:10">
      <c r="A475" t="s">
        <v>694</v>
      </c>
      <c r="B475" t="s">
        <v>684</v>
      </c>
      <c r="C475" t="s">
        <v>695</v>
      </c>
      <c r="D475" s="1">
        <v>15.74</v>
      </c>
      <c r="E475" s="2">
        <v>5.45</v>
      </c>
      <c r="F475" s="2">
        <v>85.78</v>
      </c>
      <c r="G475" t="s">
        <v>686</v>
      </c>
      <c r="H475">
        <f ca="1">IF(85.78&lt;&gt;85.78,0,0)</f>
        <v>0</v>
      </c>
      <c r="I475" t="s">
        <v>14</v>
      </c>
      <c r="J475" t="s">
        <v>14</v>
      </c>
    </row>
    <row r="476" spans="1:10">
      <c r="A476" t="s">
        <v>696</v>
      </c>
      <c r="B476" t="s">
        <v>684</v>
      </c>
      <c r="C476" t="s">
        <v>685</v>
      </c>
      <c r="D476" s="1">
        <v>15.9</v>
      </c>
      <c r="E476" s="2">
        <v>5.95</v>
      </c>
      <c r="F476" s="2">
        <v>94.61</v>
      </c>
      <c r="G476" t="s">
        <v>686</v>
      </c>
      <c r="H476">
        <f ca="1">IF(94.61&lt;&gt;94.6,0.010000000000005116,0)</f>
        <v>0</v>
      </c>
      <c r="I476" t="s">
        <v>14</v>
      </c>
      <c r="J476" t="s">
        <v>14</v>
      </c>
    </row>
    <row r="477" spans="1:10">
      <c r="A477" t="s">
        <v>697</v>
      </c>
      <c r="B477" t="s">
        <v>684</v>
      </c>
      <c r="C477" t="s">
        <v>698</v>
      </c>
      <c r="D477" s="1">
        <v>15.9</v>
      </c>
      <c r="E477" s="2">
        <v>5.7</v>
      </c>
      <c r="F477" s="2">
        <v>90.63</v>
      </c>
      <c r="G477" t="s">
        <v>686</v>
      </c>
      <c r="H477">
        <f ca="1">IF(90.63&lt;&gt;90.63,0,0)</f>
        <v>0</v>
      </c>
      <c r="I477" t="s">
        <v>14</v>
      </c>
      <c r="J477" t="s">
        <v>14</v>
      </c>
    </row>
    <row r="478" spans="1:10">
      <c r="A478" t="s">
        <v>699</v>
      </c>
      <c r="B478" t="s">
        <v>684</v>
      </c>
      <c r="C478" t="s">
        <v>700</v>
      </c>
      <c r="D478" s="1">
        <v>15.87</v>
      </c>
      <c r="E478" s="2">
        <v>5.95</v>
      </c>
      <c r="F478" s="2">
        <v>94.43</v>
      </c>
      <c r="G478" t="s">
        <v>686</v>
      </c>
      <c r="H478">
        <f ca="1">IF(94.43&lt;&gt;94.43,0,0)</f>
        <v>0</v>
      </c>
      <c r="I478" t="s">
        <v>14</v>
      </c>
      <c r="J478" t="s">
        <v>14</v>
      </c>
    </row>
    <row r="479" spans="1:10">
      <c r="A479" t="s">
        <v>701</v>
      </c>
      <c r="B479" t="s">
        <v>684</v>
      </c>
      <c r="C479" t="s">
        <v>702</v>
      </c>
      <c r="D479" s="1">
        <v>15.77</v>
      </c>
      <c r="E479" s="2">
        <v>5.95</v>
      </c>
      <c r="F479" s="2">
        <v>93.83</v>
      </c>
      <c r="G479" t="s">
        <v>686</v>
      </c>
      <c r="H479">
        <f ca="1">IF(93.83&lt;&gt;93.83,0,0)</f>
        <v>0</v>
      </c>
      <c r="I479" t="s">
        <v>14</v>
      </c>
      <c r="J479" t="s">
        <v>14</v>
      </c>
    </row>
    <row r="480" spans="1:10">
      <c r="A480" t="s">
        <v>703</v>
      </c>
      <c r="B480" t="s">
        <v>684</v>
      </c>
      <c r="C480" t="s">
        <v>704</v>
      </c>
      <c r="D480" s="1">
        <v>15.86</v>
      </c>
      <c r="E480" s="2">
        <v>5.15</v>
      </c>
      <c r="F480" s="2">
        <v>81.68</v>
      </c>
      <c r="G480" t="s">
        <v>686</v>
      </c>
      <c r="H480">
        <f ca="1">IF(81.68&lt;&gt;81.68,0,0)</f>
        <v>0</v>
      </c>
      <c r="I480" t="s">
        <v>14</v>
      </c>
      <c r="J480" t="s">
        <v>14</v>
      </c>
    </row>
    <row r="481" spans="1:10">
      <c r="A481" t="s">
        <v>705</v>
      </c>
      <c r="B481" t="s">
        <v>684</v>
      </c>
      <c r="C481" t="s">
        <v>706</v>
      </c>
      <c r="D481" s="1">
        <v>15.88</v>
      </c>
      <c r="E481" s="2">
        <v>8.75</v>
      </c>
      <c r="F481" s="2">
        <v>138.95</v>
      </c>
      <c r="G481" t="s">
        <v>686</v>
      </c>
      <c r="H481">
        <f ca="1">IF(138.95&lt;&gt;138.95,0,0)</f>
        <v>0</v>
      </c>
      <c r="I481" t="s">
        <v>14</v>
      </c>
      <c r="J481" t="s">
        <v>14</v>
      </c>
    </row>
    <row r="482" spans="1:10">
      <c r="A482" t="s">
        <v>707</v>
      </c>
      <c r="B482" t="s">
        <v>684</v>
      </c>
      <c r="C482" t="s">
        <v>700</v>
      </c>
      <c r="D482" s="1">
        <v>15.76</v>
      </c>
      <c r="E482" s="2">
        <v>5.95</v>
      </c>
      <c r="F482" s="2">
        <v>93.77</v>
      </c>
      <c r="G482" t="s">
        <v>686</v>
      </c>
      <c r="H482">
        <f ca="1">IF(93.77&lt;&gt;93.77,0,0)</f>
        <v>0</v>
      </c>
      <c r="I482" t="s">
        <v>14</v>
      </c>
      <c r="J482" t="s">
        <v>14</v>
      </c>
    </row>
    <row r="483" spans="1:10">
      <c r="A483" t="s">
        <v>708</v>
      </c>
      <c r="B483" t="s">
        <v>684</v>
      </c>
      <c r="C483" t="s">
        <v>692</v>
      </c>
      <c r="D483" s="1">
        <v>15.89</v>
      </c>
      <c r="E483" s="2">
        <v>4.55</v>
      </c>
      <c r="F483" s="2">
        <v>72.3</v>
      </c>
      <c r="G483" t="s">
        <v>686</v>
      </c>
      <c r="H483">
        <f ca="1">IF(72.3&lt;&gt;72.3,0,0)</f>
        <v>0</v>
      </c>
      <c r="I483" t="s">
        <v>14</v>
      </c>
      <c r="J483" t="s">
        <v>14</v>
      </c>
    </row>
    <row r="484" spans="1:10">
      <c r="A484" t="s">
        <v>709</v>
      </c>
      <c r="B484" t="s">
        <v>684</v>
      </c>
      <c r="C484" t="s">
        <v>706</v>
      </c>
      <c r="D484" s="1">
        <v>15.82</v>
      </c>
      <c r="E484" s="2">
        <v>8.75</v>
      </c>
      <c r="F484" s="2">
        <v>138.43</v>
      </c>
      <c r="G484" t="s">
        <v>686</v>
      </c>
      <c r="H484">
        <f ca="1">IF(138.43&lt;&gt;138.43,0,0)</f>
        <v>0</v>
      </c>
      <c r="I484" t="s">
        <v>14</v>
      </c>
      <c r="J484" t="s">
        <v>14</v>
      </c>
    </row>
    <row r="485" spans="1:10">
      <c r="A485" t="s">
        <v>710</v>
      </c>
      <c r="B485" t="s">
        <v>684</v>
      </c>
      <c r="C485" t="s">
        <v>702</v>
      </c>
      <c r="D485" s="1">
        <v>15.81</v>
      </c>
      <c r="E485" s="2">
        <v>5.95</v>
      </c>
      <c r="F485" s="2">
        <v>94.07</v>
      </c>
      <c r="G485" t="s">
        <v>686</v>
      </c>
      <c r="H485">
        <f ca="1">IF(94.07&lt;&gt;94.07,0,0)</f>
        <v>0</v>
      </c>
      <c r="I485" t="s">
        <v>14</v>
      </c>
      <c r="J485" t="s">
        <v>14</v>
      </c>
    </row>
    <row r="486" spans="1:10">
      <c r="A486" t="s">
        <v>711</v>
      </c>
      <c r="B486" t="s">
        <v>684</v>
      </c>
      <c r="C486" t="s">
        <v>692</v>
      </c>
      <c r="D486" s="1">
        <v>15.8</v>
      </c>
      <c r="E486" s="2">
        <v>4.55</v>
      </c>
      <c r="F486" s="2">
        <v>71.89</v>
      </c>
      <c r="G486" t="s">
        <v>686</v>
      </c>
      <c r="H486">
        <f ca="1">IF(71.89&lt;&gt;71.89,0,0)</f>
        <v>0</v>
      </c>
      <c r="I486" t="s">
        <v>14</v>
      </c>
      <c r="J486" t="s">
        <v>14</v>
      </c>
    </row>
    <row r="487" spans="1:10">
      <c r="A487" t="s">
        <v>712</v>
      </c>
      <c r="B487" t="s">
        <v>684</v>
      </c>
      <c r="C487" t="s">
        <v>685</v>
      </c>
      <c r="D487" s="1">
        <v>15.79</v>
      </c>
      <c r="E487" s="2">
        <v>5.95</v>
      </c>
      <c r="F487" s="2">
        <v>93.95</v>
      </c>
      <c r="G487" t="s">
        <v>686</v>
      </c>
      <c r="H487">
        <f ca="1">IF(93.95&lt;&gt;93.95,0,0)</f>
        <v>0</v>
      </c>
      <c r="I487" t="s">
        <v>14</v>
      </c>
      <c r="J487" t="s">
        <v>14</v>
      </c>
    </row>
    <row r="488" spans="1:10">
      <c r="A488" t="s">
        <v>713</v>
      </c>
      <c r="B488" t="s">
        <v>684</v>
      </c>
      <c r="C488" t="s">
        <v>692</v>
      </c>
      <c r="D488" s="1">
        <v>15.65</v>
      </c>
      <c r="E488" s="2">
        <v>4.55</v>
      </c>
      <c r="F488" s="2">
        <v>71.21</v>
      </c>
      <c r="G488" t="s">
        <v>686</v>
      </c>
      <c r="H488">
        <f ca="1">IF(71.21&lt;&gt;71.21,0,0)</f>
        <v>0</v>
      </c>
      <c r="I488" t="s">
        <v>14</v>
      </c>
      <c r="J488" t="s">
        <v>14</v>
      </c>
    </row>
    <row r="489" spans="1:10">
      <c r="A489" t="s">
        <v>714</v>
      </c>
      <c r="B489" t="s">
        <v>684</v>
      </c>
      <c r="C489" t="s">
        <v>715</v>
      </c>
      <c r="D489" s="1">
        <v>15.77</v>
      </c>
      <c r="E489" s="2">
        <v>4.2</v>
      </c>
      <c r="F489" s="2">
        <v>66.23</v>
      </c>
      <c r="G489" t="s">
        <v>686</v>
      </c>
      <c r="H489">
        <f ca="1">IF(66.23&lt;&gt;66.23,0,0)</f>
        <v>0</v>
      </c>
      <c r="I489" t="s">
        <v>14</v>
      </c>
      <c r="J489" t="s">
        <v>14</v>
      </c>
    </row>
    <row r="490" spans="1:10">
      <c r="A490" t="s">
        <v>716</v>
      </c>
      <c r="B490" t="s">
        <v>684</v>
      </c>
      <c r="C490" t="s">
        <v>702</v>
      </c>
      <c r="D490" s="1">
        <v>15.9</v>
      </c>
      <c r="E490" s="2">
        <v>5.95</v>
      </c>
      <c r="F490" s="2">
        <v>94.61</v>
      </c>
      <c r="G490" t="s">
        <v>686</v>
      </c>
      <c r="H490">
        <f ca="1">IF(94.61&lt;&gt;94.6,0.010000000000005116,0)</f>
        <v>0</v>
      </c>
      <c r="I490" t="s">
        <v>14</v>
      </c>
      <c r="J490" t="s">
        <v>14</v>
      </c>
    </row>
    <row r="491" spans="1:10">
      <c r="A491" t="s">
        <v>717</v>
      </c>
      <c r="B491" t="s">
        <v>684</v>
      </c>
      <c r="C491" t="s">
        <v>706</v>
      </c>
      <c r="D491" s="1">
        <v>15.82</v>
      </c>
      <c r="E491" s="2">
        <v>8.75</v>
      </c>
      <c r="F491" s="2">
        <v>138.43</v>
      </c>
      <c r="G491" t="s">
        <v>686</v>
      </c>
      <c r="H491">
        <f ca="1">IF(138.43&lt;&gt;138.43,0,0)</f>
        <v>0</v>
      </c>
      <c r="I491" t="s">
        <v>14</v>
      </c>
      <c r="J491" t="s">
        <v>14</v>
      </c>
    </row>
    <row r="492" spans="1:10">
      <c r="A492" t="s">
        <v>718</v>
      </c>
      <c r="B492" t="s">
        <v>719</v>
      </c>
      <c r="C492" t="s">
        <v>71</v>
      </c>
      <c r="D492" s="1">
        <v>17.34</v>
      </c>
      <c r="E492" s="2">
        <v>5.95</v>
      </c>
      <c r="F492" s="2">
        <v>103.17</v>
      </c>
      <c r="G492" t="s">
        <v>720</v>
      </c>
      <c r="H492">
        <f ca="1">IF(103.17&lt;&gt;103.17,0,0)</f>
        <v>0</v>
      </c>
      <c r="I492" t="s">
        <v>14</v>
      </c>
      <c r="J492" t="s">
        <v>14</v>
      </c>
    </row>
    <row r="493" spans="1:10">
      <c r="A493" t="s">
        <v>721</v>
      </c>
      <c r="B493" t="s">
        <v>719</v>
      </c>
      <c r="C493" t="s">
        <v>722</v>
      </c>
      <c r="D493" s="1">
        <v>17.31</v>
      </c>
      <c r="E493" s="2">
        <v>5.95</v>
      </c>
      <c r="F493" s="2">
        <v>102.99</v>
      </c>
      <c r="G493" t="s">
        <v>720</v>
      </c>
      <c r="H493">
        <f ca="1">IF(102.99&lt;&gt;102.99,0,0)</f>
        <v>0</v>
      </c>
      <c r="I493" t="s">
        <v>14</v>
      </c>
      <c r="J493" t="s">
        <v>14</v>
      </c>
    </row>
    <row r="494" spans="1:10">
      <c r="A494" t="s">
        <v>723</v>
      </c>
      <c r="B494" t="s">
        <v>719</v>
      </c>
      <c r="C494" t="s">
        <v>71</v>
      </c>
      <c r="D494" s="1">
        <v>17.29</v>
      </c>
      <c r="E494" s="2">
        <v>5.95</v>
      </c>
      <c r="F494" s="2">
        <v>102.88</v>
      </c>
      <c r="G494" t="s">
        <v>720</v>
      </c>
      <c r="H494">
        <f ca="1">IF(102.88&lt;&gt;102.88,0,0)</f>
        <v>0</v>
      </c>
      <c r="I494" t="s">
        <v>14</v>
      </c>
      <c r="J494" t="s">
        <v>14</v>
      </c>
    </row>
    <row r="495" spans="1:10">
      <c r="A495" t="s">
        <v>724</v>
      </c>
      <c r="B495" t="s">
        <v>719</v>
      </c>
      <c r="C495" t="s">
        <v>64</v>
      </c>
      <c r="D495" s="1">
        <v>17.16</v>
      </c>
      <c r="E495" s="2">
        <v>13</v>
      </c>
      <c r="F495" s="2">
        <v>223.08</v>
      </c>
      <c r="G495" t="s">
        <v>720</v>
      </c>
      <c r="H495">
        <f ca="1">IF(223.08&lt;&gt;223.08,0,0)</f>
        <v>0</v>
      </c>
      <c r="I495" t="s">
        <v>14</v>
      </c>
      <c r="J495" t="s">
        <v>14</v>
      </c>
    </row>
    <row r="496" spans="1:10">
      <c r="A496" t="s">
        <v>725</v>
      </c>
      <c r="B496" t="s">
        <v>719</v>
      </c>
      <c r="C496" t="s">
        <v>20</v>
      </c>
      <c r="D496" s="1">
        <v>16.17</v>
      </c>
      <c r="E496" s="2">
        <v>5.45</v>
      </c>
      <c r="F496" s="2">
        <v>88.13</v>
      </c>
      <c r="G496" t="s">
        <v>720</v>
      </c>
      <c r="H496">
        <f ca="1">IF(88.13&lt;&gt;88.13,0,0)</f>
        <v>0</v>
      </c>
      <c r="I496" t="s">
        <v>14</v>
      </c>
      <c r="J496" t="s">
        <v>14</v>
      </c>
    </row>
    <row r="497" spans="1:10">
      <c r="A497" t="s">
        <v>726</v>
      </c>
      <c r="B497" t="s">
        <v>719</v>
      </c>
      <c r="C497" t="s">
        <v>18</v>
      </c>
      <c r="D497" s="1">
        <v>17.3</v>
      </c>
      <c r="E497" s="2">
        <v>5.95</v>
      </c>
      <c r="F497" s="2">
        <v>102.94</v>
      </c>
      <c r="G497" t="s">
        <v>720</v>
      </c>
      <c r="H497">
        <f ca="1">IF(102.94&lt;&gt;102.94,0,0)</f>
        <v>0</v>
      </c>
      <c r="I497" t="s">
        <v>14</v>
      </c>
      <c r="J497" t="s">
        <v>14</v>
      </c>
    </row>
    <row r="498" spans="1:10">
      <c r="A498" t="s">
        <v>727</v>
      </c>
      <c r="B498" t="s">
        <v>719</v>
      </c>
      <c r="C498" t="s">
        <v>64</v>
      </c>
      <c r="D498" s="1">
        <v>17.27</v>
      </c>
      <c r="E498" s="2">
        <v>13</v>
      </c>
      <c r="F498" s="2">
        <v>224.51</v>
      </c>
      <c r="G498" t="s">
        <v>720</v>
      </c>
      <c r="H498">
        <f ca="1">IF(224.51&lt;&gt;224.51,0,0)</f>
        <v>0</v>
      </c>
      <c r="I498" t="s">
        <v>14</v>
      </c>
      <c r="J498" t="s">
        <v>14</v>
      </c>
    </row>
    <row r="499" spans="1:10">
      <c r="A499" t="s">
        <v>728</v>
      </c>
      <c r="B499" t="s">
        <v>719</v>
      </c>
      <c r="C499" t="s">
        <v>64</v>
      </c>
      <c r="D499" s="1">
        <v>17.04</v>
      </c>
      <c r="E499" s="2">
        <v>13</v>
      </c>
      <c r="F499" s="2">
        <v>221.52</v>
      </c>
      <c r="G499" t="s">
        <v>720</v>
      </c>
      <c r="H499">
        <f ca="1">IF(221.52&lt;&gt;221.52,0,0)</f>
        <v>0</v>
      </c>
      <c r="I499" t="s">
        <v>14</v>
      </c>
      <c r="J499" t="s">
        <v>14</v>
      </c>
    </row>
    <row r="500" spans="1:10">
      <c r="A500" t="s">
        <v>729</v>
      </c>
      <c r="B500" t="s">
        <v>719</v>
      </c>
      <c r="C500" t="s">
        <v>27</v>
      </c>
      <c r="D500" s="1">
        <v>17.16</v>
      </c>
      <c r="E500" s="2">
        <v>4.95</v>
      </c>
      <c r="F500" s="2">
        <v>84.94</v>
      </c>
      <c r="G500" t="s">
        <v>720</v>
      </c>
      <c r="H500">
        <f ca="1">IF(84.94&lt;&gt;84.94,0,0)</f>
        <v>0</v>
      </c>
      <c r="I500" t="s">
        <v>14</v>
      </c>
      <c r="J500" t="s">
        <v>14</v>
      </c>
    </row>
    <row r="501" spans="1:10">
      <c r="A501" t="s">
        <v>730</v>
      </c>
      <c r="B501" t="s">
        <v>719</v>
      </c>
      <c r="C501" t="s">
        <v>64</v>
      </c>
      <c r="D501" s="1">
        <v>17.31</v>
      </c>
      <c r="E501" s="2">
        <v>13</v>
      </c>
      <c r="F501" s="2">
        <v>225.03</v>
      </c>
      <c r="G501" t="s">
        <v>720</v>
      </c>
      <c r="H501">
        <f ca="1">IF(225.03&lt;&gt;225.03,0,0)</f>
        <v>0</v>
      </c>
      <c r="I501" t="s">
        <v>14</v>
      </c>
      <c r="J501" t="s">
        <v>14</v>
      </c>
    </row>
    <row r="502" spans="1:10">
      <c r="A502" t="s">
        <v>731</v>
      </c>
      <c r="B502" t="s">
        <v>719</v>
      </c>
      <c r="C502" t="s">
        <v>29</v>
      </c>
      <c r="D502" s="1">
        <v>17.44</v>
      </c>
      <c r="E502" s="2">
        <v>4.55</v>
      </c>
      <c r="F502" s="2">
        <v>79.35</v>
      </c>
      <c r="G502" t="s">
        <v>720</v>
      </c>
      <c r="H502">
        <f ca="1">IF(79.35&lt;&gt;79.35,0,0)</f>
        <v>0</v>
      </c>
      <c r="I502" t="s">
        <v>14</v>
      </c>
      <c r="J502" t="s">
        <v>14</v>
      </c>
    </row>
    <row r="503" spans="1:10">
      <c r="A503" t="s">
        <v>732</v>
      </c>
      <c r="B503" t="s">
        <v>719</v>
      </c>
      <c r="C503" t="s">
        <v>545</v>
      </c>
      <c r="D503" s="1">
        <v>17.34</v>
      </c>
      <c r="E503" s="2">
        <v>4.95</v>
      </c>
      <c r="F503" s="2">
        <v>85.83</v>
      </c>
      <c r="G503" t="s">
        <v>720</v>
      </c>
      <c r="H503">
        <f ca="1">IF(85.83&lt;&gt;85.83,0,0)</f>
        <v>0</v>
      </c>
      <c r="I503" t="s">
        <v>14</v>
      </c>
      <c r="J503" t="s">
        <v>14</v>
      </c>
    </row>
    <row r="504" spans="1:10">
      <c r="A504" t="s">
        <v>733</v>
      </c>
      <c r="B504" t="s">
        <v>719</v>
      </c>
      <c r="C504" t="s">
        <v>25</v>
      </c>
      <c r="D504" s="1">
        <v>17.33</v>
      </c>
      <c r="E504" s="2">
        <v>5.95</v>
      </c>
      <c r="F504" s="2">
        <v>103.11</v>
      </c>
      <c r="G504" t="s">
        <v>720</v>
      </c>
      <c r="H504">
        <f ca="1">IF(103.11&lt;&gt;103.11,0,0)</f>
        <v>0</v>
      </c>
      <c r="I504" t="s">
        <v>14</v>
      </c>
      <c r="J504" t="s">
        <v>14</v>
      </c>
    </row>
    <row r="505" spans="1:10">
      <c r="A505" t="s">
        <v>734</v>
      </c>
      <c r="B505" t="s">
        <v>719</v>
      </c>
      <c r="C505" t="s">
        <v>22</v>
      </c>
      <c r="D505" s="1">
        <v>17.4</v>
      </c>
      <c r="E505" s="2">
        <v>4.2</v>
      </c>
      <c r="F505" s="2">
        <v>73.08</v>
      </c>
      <c r="G505" t="s">
        <v>720</v>
      </c>
      <c r="H505">
        <f ca="1">IF(73.08&lt;&gt;73.08,0,0)</f>
        <v>0</v>
      </c>
      <c r="I505" t="s">
        <v>14</v>
      </c>
      <c r="J505" t="s">
        <v>14</v>
      </c>
    </row>
    <row r="506" spans="1:10">
      <c r="A506" t="s">
        <v>735</v>
      </c>
      <c r="B506" t="s">
        <v>719</v>
      </c>
      <c r="C506" t="s">
        <v>29</v>
      </c>
      <c r="D506" s="1">
        <v>17.38</v>
      </c>
      <c r="E506" s="2">
        <v>4.55</v>
      </c>
      <c r="F506" s="2">
        <v>79.08</v>
      </c>
      <c r="G506" t="s">
        <v>720</v>
      </c>
      <c r="H506">
        <f ca="1">IF(79.08&lt;&gt;79.08,0,0)</f>
        <v>0</v>
      </c>
      <c r="I506" t="s">
        <v>14</v>
      </c>
      <c r="J506" t="s">
        <v>14</v>
      </c>
    </row>
    <row r="507" spans="1:10">
      <c r="A507" t="s">
        <v>736</v>
      </c>
      <c r="B507" t="s">
        <v>719</v>
      </c>
      <c r="C507" t="s">
        <v>59</v>
      </c>
      <c r="D507" s="1">
        <v>17.21</v>
      </c>
      <c r="E507" s="2">
        <v>5.15</v>
      </c>
      <c r="F507" s="2">
        <v>88.63</v>
      </c>
      <c r="G507" t="s">
        <v>720</v>
      </c>
      <c r="H507">
        <f ca="1">IF(88.63&lt;&gt;88.63,0,0)</f>
        <v>0</v>
      </c>
      <c r="I507" t="s">
        <v>14</v>
      </c>
      <c r="J507" t="s">
        <v>14</v>
      </c>
    </row>
    <row r="508" spans="1:10">
      <c r="A508" t="s">
        <v>737</v>
      </c>
      <c r="B508" t="s">
        <v>719</v>
      </c>
      <c r="C508" t="s">
        <v>16</v>
      </c>
      <c r="D508" s="1">
        <v>17.24</v>
      </c>
      <c r="E508" s="2">
        <v>4.55</v>
      </c>
      <c r="F508" s="2">
        <v>78.44</v>
      </c>
      <c r="G508" t="s">
        <v>720</v>
      </c>
      <c r="H508">
        <f ca="1">IF(78.44&lt;&gt;78.44,0,0)</f>
        <v>0</v>
      </c>
      <c r="I508" t="s">
        <v>14</v>
      </c>
      <c r="J508" t="s">
        <v>14</v>
      </c>
    </row>
    <row r="509" spans="1:10">
      <c r="A509" t="s">
        <v>738</v>
      </c>
      <c r="B509" t="s">
        <v>719</v>
      </c>
      <c r="C509" t="s">
        <v>64</v>
      </c>
      <c r="D509" s="1">
        <v>17.33</v>
      </c>
      <c r="E509" s="2">
        <v>13</v>
      </c>
      <c r="F509" s="2">
        <v>225.29</v>
      </c>
      <c r="G509" t="s">
        <v>720</v>
      </c>
      <c r="H509">
        <f ca="1">IF(225.29&lt;&gt;225.29,0,0)</f>
        <v>0</v>
      </c>
      <c r="I509" t="s">
        <v>14</v>
      </c>
      <c r="J509" t="s">
        <v>14</v>
      </c>
    </row>
    <row r="510" spans="1:10">
      <c r="A510" t="s">
        <v>739</v>
      </c>
      <c r="B510" t="s">
        <v>740</v>
      </c>
      <c r="C510" t="s">
        <v>302</v>
      </c>
      <c r="D510" s="1">
        <v>18.66</v>
      </c>
      <c r="E510" s="2">
        <v>4.2</v>
      </c>
      <c r="F510" s="2">
        <v>78.37</v>
      </c>
      <c r="G510" t="s">
        <v>741</v>
      </c>
      <c r="H510">
        <f ca="1">IF(78.37&lt;&gt;78.37,0,0)</f>
        <v>0</v>
      </c>
      <c r="I510" t="s">
        <v>14</v>
      </c>
      <c r="J510" t="s">
        <v>14</v>
      </c>
    </row>
    <row r="511" spans="1:10">
      <c r="A511" t="s">
        <v>742</v>
      </c>
      <c r="B511" t="s">
        <v>740</v>
      </c>
      <c r="C511" t="s">
        <v>307</v>
      </c>
      <c r="D511" s="1">
        <v>18.65</v>
      </c>
      <c r="E511" s="2">
        <v>3.5</v>
      </c>
      <c r="F511" s="2">
        <v>65.28</v>
      </c>
      <c r="G511" t="s">
        <v>741</v>
      </c>
      <c r="H511">
        <f ca="1">IF(65.28&lt;&gt;65.27,0.010000000000005116,0)</f>
        <v>0</v>
      </c>
      <c r="I511" t="s">
        <v>14</v>
      </c>
      <c r="J511" t="s">
        <v>14</v>
      </c>
    </row>
    <row r="512" spans="1:10">
      <c r="A512" t="s">
        <v>743</v>
      </c>
      <c r="B512" t="s">
        <v>740</v>
      </c>
      <c r="C512" t="s">
        <v>744</v>
      </c>
      <c r="D512" s="1">
        <v>18.64</v>
      </c>
      <c r="E512" s="2">
        <v>5.15</v>
      </c>
      <c r="F512" s="2">
        <v>96</v>
      </c>
      <c r="G512" t="s">
        <v>741</v>
      </c>
      <c r="H512">
        <f ca="1">IF(96&lt;&gt;96,0,0)</f>
        <v>0</v>
      </c>
      <c r="I512" t="s">
        <v>14</v>
      </c>
      <c r="J512" t="s">
        <v>14</v>
      </c>
    </row>
    <row r="513" spans="1:10">
      <c r="A513" t="s">
        <v>745</v>
      </c>
      <c r="B513" t="s">
        <v>740</v>
      </c>
      <c r="C513" t="s">
        <v>339</v>
      </c>
      <c r="D513" s="1">
        <v>18.63</v>
      </c>
      <c r="E513" s="2">
        <v>4.2</v>
      </c>
      <c r="F513" s="2">
        <v>78.25</v>
      </c>
      <c r="G513" t="s">
        <v>741</v>
      </c>
      <c r="H513">
        <f ca="1">IF(78.25&lt;&gt;78.25,0,0)</f>
        <v>0</v>
      </c>
      <c r="I513" t="s">
        <v>14</v>
      </c>
      <c r="J513" t="s">
        <v>14</v>
      </c>
    </row>
    <row r="514" spans="1:10">
      <c r="A514" t="s">
        <v>746</v>
      </c>
      <c r="B514" t="s">
        <v>740</v>
      </c>
      <c r="C514" t="s">
        <v>302</v>
      </c>
      <c r="D514" s="1">
        <v>18.63</v>
      </c>
      <c r="E514" s="2">
        <v>4.2</v>
      </c>
      <c r="F514" s="2">
        <v>78.25</v>
      </c>
      <c r="G514" t="s">
        <v>741</v>
      </c>
      <c r="H514">
        <f ca="1">IF(78.25&lt;&gt;78.25,0,0)</f>
        <v>0</v>
      </c>
      <c r="I514" t="s">
        <v>14</v>
      </c>
      <c r="J514" t="s">
        <v>14</v>
      </c>
    </row>
    <row r="515" spans="1:10">
      <c r="A515" t="s">
        <v>747</v>
      </c>
      <c r="B515" t="s">
        <v>740</v>
      </c>
      <c r="C515" t="s">
        <v>305</v>
      </c>
      <c r="D515" s="1">
        <v>18.66</v>
      </c>
      <c r="E515" s="2">
        <v>5.45</v>
      </c>
      <c r="F515" s="2">
        <v>101.7</v>
      </c>
      <c r="G515" t="s">
        <v>741</v>
      </c>
      <c r="H515">
        <f ca="1">IF(101.7&lt;&gt;101.7,0,0)</f>
        <v>0</v>
      </c>
      <c r="I515" t="s">
        <v>14</v>
      </c>
      <c r="J515" t="s">
        <v>14</v>
      </c>
    </row>
    <row r="516" spans="1:10">
      <c r="A516" t="s">
        <v>748</v>
      </c>
      <c r="B516" t="s">
        <v>740</v>
      </c>
      <c r="C516" t="s">
        <v>311</v>
      </c>
      <c r="D516" s="1">
        <v>18.64</v>
      </c>
      <c r="E516" s="2">
        <v>3.5</v>
      </c>
      <c r="F516" s="2">
        <v>65.24</v>
      </c>
      <c r="G516" t="s">
        <v>741</v>
      </c>
      <c r="H516">
        <f ca="1">IF(65.24&lt;&gt;65.24,0,0)</f>
        <v>0</v>
      </c>
      <c r="I516" t="s">
        <v>14</v>
      </c>
      <c r="J516" t="s">
        <v>14</v>
      </c>
    </row>
    <row r="517" spans="1:10">
      <c r="A517" t="s">
        <v>749</v>
      </c>
      <c r="B517" t="s">
        <v>740</v>
      </c>
      <c r="C517" t="s">
        <v>318</v>
      </c>
      <c r="D517" s="1">
        <v>18.64</v>
      </c>
      <c r="E517" s="2">
        <v>4.2</v>
      </c>
      <c r="F517" s="2">
        <v>78.29</v>
      </c>
      <c r="G517" t="s">
        <v>741</v>
      </c>
      <c r="H517">
        <f ca="1">IF(78.29&lt;&gt;78.29,0,0)</f>
        <v>0</v>
      </c>
      <c r="I517" t="s">
        <v>14</v>
      </c>
      <c r="J517" t="s">
        <v>14</v>
      </c>
    </row>
    <row r="518" spans="1:10">
      <c r="A518" t="s">
        <v>750</v>
      </c>
      <c r="B518" t="s">
        <v>740</v>
      </c>
      <c r="C518" t="s">
        <v>320</v>
      </c>
      <c r="D518" s="1">
        <v>18.58</v>
      </c>
      <c r="E518" s="2">
        <v>4.2</v>
      </c>
      <c r="F518" s="2">
        <v>78.04</v>
      </c>
      <c r="G518" t="s">
        <v>741</v>
      </c>
      <c r="H518">
        <f ca="1">IF(78.04&lt;&gt;78.04,0,0)</f>
        <v>0</v>
      </c>
      <c r="I518" t="s">
        <v>14</v>
      </c>
      <c r="J518" t="s">
        <v>14</v>
      </c>
    </row>
    <row r="519" spans="1:10">
      <c r="A519" t="s">
        <v>751</v>
      </c>
      <c r="B519" t="s">
        <v>740</v>
      </c>
      <c r="C519" t="s">
        <v>752</v>
      </c>
      <c r="D519" s="1">
        <v>18.6</v>
      </c>
      <c r="E519" s="2">
        <v>4.2</v>
      </c>
      <c r="F519" s="2">
        <v>78.12</v>
      </c>
      <c r="G519" t="s">
        <v>741</v>
      </c>
      <c r="H519">
        <f ca="1">IF(78.12&lt;&gt;78.12,0,0)</f>
        <v>0</v>
      </c>
      <c r="I519" t="s">
        <v>14</v>
      </c>
      <c r="J519" t="s">
        <v>14</v>
      </c>
    </row>
    <row r="520" spans="1:10">
      <c r="A520" t="s">
        <v>753</v>
      </c>
      <c r="B520" t="s">
        <v>740</v>
      </c>
      <c r="C520" t="s">
        <v>333</v>
      </c>
      <c r="D520" s="1">
        <v>18.56</v>
      </c>
      <c r="E520" s="2">
        <v>4.95</v>
      </c>
      <c r="F520" s="2">
        <v>91.87</v>
      </c>
      <c r="G520" t="s">
        <v>741</v>
      </c>
      <c r="H520">
        <f ca="1">IF(91.87&lt;&gt;91.87,0,0)</f>
        <v>0</v>
      </c>
      <c r="I520" t="s">
        <v>14</v>
      </c>
      <c r="J520" t="s">
        <v>14</v>
      </c>
    </row>
    <row r="521" spans="1:10">
      <c r="A521" t="s">
        <v>754</v>
      </c>
      <c r="B521" t="s">
        <v>740</v>
      </c>
      <c r="C521" t="s">
        <v>755</v>
      </c>
      <c r="D521" s="1">
        <v>18.57</v>
      </c>
      <c r="E521" s="2">
        <v>4.95</v>
      </c>
      <c r="F521" s="2">
        <v>91.92</v>
      </c>
      <c r="G521" t="s">
        <v>741</v>
      </c>
      <c r="H521">
        <f ca="1">IF(91.92&lt;&gt;91.92,0,0)</f>
        <v>0</v>
      </c>
      <c r="I521" t="s">
        <v>14</v>
      </c>
      <c r="J521" t="s">
        <v>14</v>
      </c>
    </row>
    <row r="522" spans="1:10">
      <c r="A522" t="s">
        <v>756</v>
      </c>
      <c r="B522" t="s">
        <v>740</v>
      </c>
      <c r="C522" t="s">
        <v>326</v>
      </c>
      <c r="D522" s="1">
        <v>18.65</v>
      </c>
      <c r="E522" s="2">
        <v>3.5</v>
      </c>
      <c r="F522" s="2">
        <v>65.28</v>
      </c>
      <c r="G522" t="s">
        <v>741</v>
      </c>
      <c r="H522">
        <f ca="1">IF(65.28&lt;&gt;65.27,0.010000000000005116,0)</f>
        <v>0</v>
      </c>
      <c r="I522" t="s">
        <v>14</v>
      </c>
      <c r="J522" t="s">
        <v>14</v>
      </c>
    </row>
    <row r="523" spans="1:10">
      <c r="A523" t="s">
        <v>757</v>
      </c>
      <c r="B523" t="s">
        <v>740</v>
      </c>
      <c r="C523" t="s">
        <v>315</v>
      </c>
      <c r="D523" s="1">
        <v>18.74</v>
      </c>
      <c r="E523" s="2">
        <v>5.7</v>
      </c>
      <c r="F523" s="2">
        <v>106.82</v>
      </c>
      <c r="G523" t="s">
        <v>741</v>
      </c>
      <c r="H523">
        <f ca="1">IF(106.82&lt;&gt;106.82,0,0)</f>
        <v>0</v>
      </c>
      <c r="I523" t="s">
        <v>14</v>
      </c>
      <c r="J523" t="s">
        <v>14</v>
      </c>
    </row>
    <row r="524" spans="1:10">
      <c r="A524" t="s">
        <v>758</v>
      </c>
      <c r="B524" t="s">
        <v>740</v>
      </c>
      <c r="C524" t="s">
        <v>318</v>
      </c>
      <c r="D524" s="1">
        <v>18.65</v>
      </c>
      <c r="E524" s="2">
        <v>4.2</v>
      </c>
      <c r="F524" s="2">
        <v>78.33</v>
      </c>
      <c r="G524" t="s">
        <v>741</v>
      </c>
      <c r="H524">
        <f ca="1">IF(78.33&lt;&gt;78.33,0,0)</f>
        <v>0</v>
      </c>
      <c r="I524" t="s">
        <v>14</v>
      </c>
      <c r="J524" t="s">
        <v>14</v>
      </c>
    </row>
    <row r="525" spans="1:10">
      <c r="A525" t="s">
        <v>759</v>
      </c>
      <c r="B525" t="s">
        <v>740</v>
      </c>
      <c r="C525" t="s">
        <v>318</v>
      </c>
      <c r="D525" s="1">
        <v>18.65</v>
      </c>
      <c r="E525" s="2">
        <v>4.2</v>
      </c>
      <c r="F525" s="2">
        <v>78.33</v>
      </c>
      <c r="G525" t="s">
        <v>741</v>
      </c>
      <c r="H525">
        <f ca="1">IF(78.33&lt;&gt;78.33,0,0)</f>
        <v>0</v>
      </c>
      <c r="I525" t="s">
        <v>14</v>
      </c>
      <c r="J525" t="s">
        <v>14</v>
      </c>
    </row>
    <row r="526" spans="1:10">
      <c r="A526" t="s">
        <v>760</v>
      </c>
      <c r="B526" t="s">
        <v>740</v>
      </c>
      <c r="C526" t="s">
        <v>326</v>
      </c>
      <c r="D526" s="1">
        <v>18.63</v>
      </c>
      <c r="E526" s="2">
        <v>3.5</v>
      </c>
      <c r="F526" s="2">
        <v>65.21</v>
      </c>
      <c r="G526" t="s">
        <v>741</v>
      </c>
      <c r="H526">
        <f ca="1">IF(65.21&lt;&gt;65.2,0.009999999999990905,0)</f>
        <v>0</v>
      </c>
      <c r="I526" t="s">
        <v>14</v>
      </c>
      <c r="J526" t="s">
        <v>14</v>
      </c>
    </row>
    <row r="527" spans="1:10">
      <c r="A527" t="s">
        <v>761</v>
      </c>
      <c r="B527" t="s">
        <v>740</v>
      </c>
      <c r="C527" t="s">
        <v>315</v>
      </c>
      <c r="D527" s="1">
        <v>18.72</v>
      </c>
      <c r="E527" s="2">
        <v>5.7</v>
      </c>
      <c r="F527" s="2">
        <v>106.7</v>
      </c>
      <c r="G527" t="s">
        <v>741</v>
      </c>
      <c r="H527">
        <f ca="1">IF(106.7&lt;&gt;106.7,0,0)</f>
        <v>0</v>
      </c>
      <c r="I527" t="s">
        <v>14</v>
      </c>
      <c r="J527" t="s">
        <v>14</v>
      </c>
    </row>
    <row r="528" spans="1:10">
      <c r="A528" t="s">
        <v>762</v>
      </c>
      <c r="B528" t="s">
        <v>740</v>
      </c>
      <c r="C528" t="s">
        <v>307</v>
      </c>
      <c r="D528" s="1">
        <v>18.57</v>
      </c>
      <c r="E528" s="2">
        <v>3.5</v>
      </c>
      <c r="F528" s="2">
        <v>65</v>
      </c>
      <c r="G528" t="s">
        <v>741</v>
      </c>
      <c r="H528">
        <f ca="1">IF(65&lt;&gt;65,0,0)</f>
        <v>0</v>
      </c>
      <c r="I528" t="s">
        <v>14</v>
      </c>
      <c r="J528" t="s">
        <v>14</v>
      </c>
    </row>
    <row r="529" spans="1:10">
      <c r="A529" t="s">
        <v>763</v>
      </c>
      <c r="B529" t="s">
        <v>740</v>
      </c>
      <c r="C529" t="s">
        <v>318</v>
      </c>
      <c r="D529" s="1">
        <v>18.57</v>
      </c>
      <c r="E529" s="2">
        <v>4.2</v>
      </c>
      <c r="F529" s="2">
        <v>77.99</v>
      </c>
      <c r="G529" t="s">
        <v>741</v>
      </c>
      <c r="H529">
        <f ca="1">IF(77.99&lt;&gt;77.99,0,0)</f>
        <v>0</v>
      </c>
      <c r="I529" t="s">
        <v>14</v>
      </c>
      <c r="J529" t="s">
        <v>14</v>
      </c>
    </row>
    <row r="530" spans="1:10">
      <c r="A530" t="s">
        <v>764</v>
      </c>
      <c r="B530" t="s">
        <v>740</v>
      </c>
      <c r="C530" t="s">
        <v>326</v>
      </c>
      <c r="D530" s="1">
        <v>18.29</v>
      </c>
      <c r="E530" s="2">
        <v>3.5</v>
      </c>
      <c r="F530" s="2">
        <v>64.02</v>
      </c>
      <c r="G530" t="s">
        <v>741</v>
      </c>
      <c r="H530">
        <f ca="1">IF(64.02&lt;&gt;64.02,0,0)</f>
        <v>0</v>
      </c>
      <c r="I530" t="s">
        <v>14</v>
      </c>
      <c r="J530" t="s">
        <v>14</v>
      </c>
    </row>
    <row r="531" spans="1:10">
      <c r="A531" t="s">
        <v>765</v>
      </c>
      <c r="B531" t="s">
        <v>766</v>
      </c>
      <c r="C531" t="s">
        <v>767</v>
      </c>
      <c r="D531" s="1">
        <v>22.31</v>
      </c>
      <c r="E531" s="2">
        <v>5.45</v>
      </c>
      <c r="F531" s="2">
        <v>121.59</v>
      </c>
      <c r="G531" t="s">
        <v>768</v>
      </c>
      <c r="H531">
        <f ca="1">IF(121.59&lt;&gt;121.59,0,0)</f>
        <v>0</v>
      </c>
      <c r="I531" t="s">
        <v>14</v>
      </c>
      <c r="J531" t="s">
        <v>14</v>
      </c>
    </row>
    <row r="532" spans="1:10">
      <c r="A532" t="s">
        <v>769</v>
      </c>
      <c r="B532" t="s">
        <v>770</v>
      </c>
      <c r="C532" t="s">
        <v>579</v>
      </c>
      <c r="D532" s="1">
        <v>18.95</v>
      </c>
      <c r="E532" s="2">
        <v>9.5</v>
      </c>
      <c r="F532" s="2">
        <v>180.03</v>
      </c>
      <c r="G532" t="s">
        <v>771</v>
      </c>
      <c r="H532">
        <f ca="1">IF(180.03&lt;&gt;180.02,0.009999999999990905,0)</f>
        <v>0</v>
      </c>
      <c r="I532" t="s">
        <v>14</v>
      </c>
      <c r="J532" t="s">
        <v>14</v>
      </c>
    </row>
    <row r="533" spans="1:10">
      <c r="A533" t="s">
        <v>772</v>
      </c>
      <c r="B533" t="s">
        <v>770</v>
      </c>
      <c r="C533" t="s">
        <v>71</v>
      </c>
      <c r="D533" s="1">
        <v>18.92</v>
      </c>
      <c r="E533" s="2">
        <v>5.95</v>
      </c>
      <c r="F533" s="2">
        <v>112.57</v>
      </c>
      <c r="G533" t="s">
        <v>771</v>
      </c>
      <c r="H533">
        <f ca="1">IF(112.57&lt;&gt;112.57,0,0)</f>
        <v>0</v>
      </c>
      <c r="I533" t="s">
        <v>14</v>
      </c>
      <c r="J533" t="s">
        <v>14</v>
      </c>
    </row>
    <row r="534" spans="1:10">
      <c r="A534" t="s">
        <v>773</v>
      </c>
      <c r="B534" t="s">
        <v>770</v>
      </c>
      <c r="C534" t="s">
        <v>71</v>
      </c>
      <c r="D534" s="1">
        <v>18.9</v>
      </c>
      <c r="E534" s="2">
        <v>5.95</v>
      </c>
      <c r="F534" s="2">
        <v>112.46</v>
      </c>
      <c r="G534" t="s">
        <v>771</v>
      </c>
      <c r="H534">
        <f ca="1">IF(112.46&lt;&gt;112.46,0,0)</f>
        <v>0</v>
      </c>
      <c r="I534" t="s">
        <v>14</v>
      </c>
      <c r="J534" t="s">
        <v>14</v>
      </c>
    </row>
    <row r="535" spans="1:10">
      <c r="A535" t="s">
        <v>774</v>
      </c>
      <c r="B535" t="s">
        <v>770</v>
      </c>
      <c r="C535" t="s">
        <v>77</v>
      </c>
      <c r="D535" s="1">
        <v>19.32</v>
      </c>
      <c r="E535" s="2">
        <v>3.7</v>
      </c>
      <c r="F535" s="2">
        <v>71.48</v>
      </c>
      <c r="G535" t="s">
        <v>771</v>
      </c>
      <c r="H535">
        <f ca="1">IF(71.48&lt;&gt;71.48,0,0)</f>
        <v>0</v>
      </c>
      <c r="I535" t="s">
        <v>14</v>
      </c>
      <c r="J535" t="s">
        <v>14</v>
      </c>
    </row>
    <row r="536" spans="1:10">
      <c r="A536" t="s">
        <v>775</v>
      </c>
      <c r="B536" t="s">
        <v>770</v>
      </c>
      <c r="C536" t="s">
        <v>102</v>
      </c>
      <c r="D536" s="1">
        <v>19.2</v>
      </c>
      <c r="E536" s="2">
        <v>4.55</v>
      </c>
      <c r="F536" s="2">
        <v>87.36</v>
      </c>
      <c r="G536" t="s">
        <v>771</v>
      </c>
      <c r="H536">
        <f ca="1">IF(87.36&lt;&gt;87.36,0,0)</f>
        <v>0</v>
      </c>
      <c r="I536" t="s">
        <v>14</v>
      </c>
      <c r="J536" t="s">
        <v>14</v>
      </c>
    </row>
    <row r="537" spans="1:10">
      <c r="A537" t="s">
        <v>776</v>
      </c>
      <c r="B537" t="s">
        <v>770</v>
      </c>
      <c r="C537" t="s">
        <v>77</v>
      </c>
      <c r="D537" s="1">
        <v>19.3</v>
      </c>
      <c r="E537" s="2">
        <v>3.7</v>
      </c>
      <c r="F537" s="2">
        <v>71.41</v>
      </c>
      <c r="G537" t="s">
        <v>771</v>
      </c>
      <c r="H537">
        <f ca="1">IF(71.41&lt;&gt;71.41,0,0)</f>
        <v>0</v>
      </c>
      <c r="I537" t="s">
        <v>14</v>
      </c>
      <c r="J537" t="s">
        <v>14</v>
      </c>
    </row>
    <row r="538" spans="1:10">
      <c r="A538" t="s">
        <v>777</v>
      </c>
      <c r="B538" t="s">
        <v>770</v>
      </c>
      <c r="C538" t="s">
        <v>98</v>
      </c>
      <c r="D538" s="1">
        <v>19.25</v>
      </c>
      <c r="E538" s="2">
        <v>5.55</v>
      </c>
      <c r="F538" s="2">
        <v>106.84</v>
      </c>
      <c r="G538" t="s">
        <v>771</v>
      </c>
      <c r="H538">
        <f ca="1">IF(106.84&lt;&gt;106.84,0,0)</f>
        <v>0</v>
      </c>
      <c r="I538" t="s">
        <v>14</v>
      </c>
      <c r="J538" t="s">
        <v>14</v>
      </c>
    </row>
    <row r="539" spans="1:10">
      <c r="A539" t="s">
        <v>778</v>
      </c>
      <c r="B539" t="s">
        <v>770</v>
      </c>
      <c r="C539" t="s">
        <v>77</v>
      </c>
      <c r="D539" s="1">
        <v>19.19</v>
      </c>
      <c r="E539" s="2">
        <v>3.7</v>
      </c>
      <c r="F539" s="2">
        <v>71</v>
      </c>
      <c r="G539" t="s">
        <v>771</v>
      </c>
      <c r="H539">
        <f ca="1">IF(71&lt;&gt;71,0,0)</f>
        <v>0</v>
      </c>
      <c r="I539" t="s">
        <v>14</v>
      </c>
      <c r="J539" t="s">
        <v>14</v>
      </c>
    </row>
    <row r="540" spans="1:10">
      <c r="A540" t="s">
        <v>779</v>
      </c>
      <c r="B540" t="s">
        <v>770</v>
      </c>
      <c r="C540" t="s">
        <v>84</v>
      </c>
      <c r="D540" s="1">
        <v>19.31</v>
      </c>
      <c r="E540" s="2">
        <v>6.4</v>
      </c>
      <c r="F540" s="2">
        <v>123.58</v>
      </c>
      <c r="G540" t="s">
        <v>771</v>
      </c>
      <c r="H540">
        <f ca="1">IF(123.58&lt;&gt;123.58,0,0)</f>
        <v>0</v>
      </c>
      <c r="I540" t="s">
        <v>14</v>
      </c>
      <c r="J540" t="s">
        <v>14</v>
      </c>
    </row>
    <row r="541" spans="1:10">
      <c r="A541" t="s">
        <v>780</v>
      </c>
      <c r="B541" t="s">
        <v>770</v>
      </c>
      <c r="C541" t="s">
        <v>781</v>
      </c>
      <c r="D541" s="1">
        <v>19.26</v>
      </c>
      <c r="E541" s="2">
        <v>3.95</v>
      </c>
      <c r="F541" s="2">
        <v>76.08</v>
      </c>
      <c r="G541" t="s">
        <v>771</v>
      </c>
      <c r="H541">
        <f ca="1">IF(76.08&lt;&gt;76.08,0,0)</f>
        <v>0</v>
      </c>
      <c r="I541" t="s">
        <v>14</v>
      </c>
      <c r="J541" t="s">
        <v>14</v>
      </c>
    </row>
    <row r="542" spans="1:10">
      <c r="A542" t="s">
        <v>782</v>
      </c>
      <c r="B542" t="s">
        <v>770</v>
      </c>
      <c r="C542" t="s">
        <v>106</v>
      </c>
      <c r="D542" s="1">
        <v>19.3</v>
      </c>
      <c r="E542" s="2">
        <v>4.55</v>
      </c>
      <c r="F542" s="2">
        <v>87.82</v>
      </c>
      <c r="G542" t="s">
        <v>771</v>
      </c>
      <c r="H542">
        <f ca="1">IF(87.82&lt;&gt;87.82,0,0)</f>
        <v>0</v>
      </c>
      <c r="I542" t="s">
        <v>14</v>
      </c>
      <c r="J542" t="s">
        <v>14</v>
      </c>
    </row>
    <row r="543" spans="1:10">
      <c r="A543" t="s">
        <v>783</v>
      </c>
      <c r="B543" t="s">
        <v>770</v>
      </c>
      <c r="C543" t="s">
        <v>90</v>
      </c>
      <c r="D543" s="1">
        <v>19.27</v>
      </c>
      <c r="E543" s="2">
        <v>3.7</v>
      </c>
      <c r="F543" s="2">
        <v>71.3</v>
      </c>
      <c r="G543" t="s">
        <v>771</v>
      </c>
      <c r="H543">
        <f ca="1">IF(71.3&lt;&gt;71.3,0,0)</f>
        <v>0</v>
      </c>
      <c r="I543" t="s">
        <v>14</v>
      </c>
      <c r="J543" t="s">
        <v>14</v>
      </c>
    </row>
    <row r="544" spans="1:10">
      <c r="A544" t="s">
        <v>784</v>
      </c>
      <c r="B544" t="s">
        <v>770</v>
      </c>
      <c r="C544" t="s">
        <v>94</v>
      </c>
      <c r="D544" s="1">
        <v>19.36</v>
      </c>
      <c r="E544" s="2">
        <v>3.7</v>
      </c>
      <c r="F544" s="2">
        <v>71.63</v>
      </c>
      <c r="G544" t="s">
        <v>771</v>
      </c>
      <c r="H544">
        <f ca="1">IF(71.63&lt;&gt;71.63,0,0)</f>
        <v>0</v>
      </c>
      <c r="I544" t="s">
        <v>14</v>
      </c>
      <c r="J544" t="s">
        <v>14</v>
      </c>
    </row>
    <row r="545" spans="1:10">
      <c r="A545" t="s">
        <v>785</v>
      </c>
      <c r="B545" t="s">
        <v>770</v>
      </c>
      <c r="C545" t="s">
        <v>617</v>
      </c>
      <c r="D545" s="1">
        <v>19.38</v>
      </c>
      <c r="E545" s="2">
        <v>4.95</v>
      </c>
      <c r="F545" s="2">
        <v>95.93</v>
      </c>
      <c r="G545" t="s">
        <v>771</v>
      </c>
      <c r="H545">
        <f ca="1">IF(95.93&lt;&gt;95.93,0,0)</f>
        <v>0</v>
      </c>
      <c r="I545" t="s">
        <v>14</v>
      </c>
      <c r="J545" t="s">
        <v>14</v>
      </c>
    </row>
    <row r="546" spans="1:10">
      <c r="A546" t="s">
        <v>786</v>
      </c>
      <c r="B546" t="s">
        <v>770</v>
      </c>
      <c r="C546" t="s">
        <v>77</v>
      </c>
      <c r="D546" s="1">
        <v>19.36</v>
      </c>
      <c r="E546" s="2">
        <v>3.7</v>
      </c>
      <c r="F546" s="2">
        <v>71.63</v>
      </c>
      <c r="G546" t="s">
        <v>771</v>
      </c>
      <c r="H546">
        <f ca="1">IF(71.63&lt;&gt;71.63,0,0)</f>
        <v>0</v>
      </c>
      <c r="I546" t="s">
        <v>14</v>
      </c>
      <c r="J546" t="s">
        <v>14</v>
      </c>
    </row>
    <row r="547" spans="1:10">
      <c r="A547" t="s">
        <v>787</v>
      </c>
      <c r="B547" t="s">
        <v>770</v>
      </c>
      <c r="C547" t="s">
        <v>108</v>
      </c>
      <c r="D547" s="1">
        <v>19.72</v>
      </c>
      <c r="E547" s="2">
        <v>5.7</v>
      </c>
      <c r="F547" s="2">
        <v>112.4</v>
      </c>
      <c r="G547" t="s">
        <v>771</v>
      </c>
      <c r="H547">
        <f ca="1">IF(112.4&lt;&gt;112.4,0,0)</f>
        <v>0</v>
      </c>
      <c r="I547" t="s">
        <v>14</v>
      </c>
      <c r="J547" t="s">
        <v>14</v>
      </c>
    </row>
    <row r="548" spans="1:10">
      <c r="A548" t="s">
        <v>788</v>
      </c>
      <c r="B548" t="s">
        <v>770</v>
      </c>
      <c r="C548" t="s">
        <v>139</v>
      </c>
      <c r="D548" s="1">
        <v>19.79</v>
      </c>
      <c r="E548" s="2">
        <v>3.7</v>
      </c>
      <c r="F548" s="2">
        <v>73.22</v>
      </c>
      <c r="G548" t="s">
        <v>771</v>
      </c>
      <c r="H548">
        <f ca="1">IF(73.22&lt;&gt;73.22,0,0)</f>
        <v>0</v>
      </c>
      <c r="I548" t="s">
        <v>14</v>
      </c>
      <c r="J548" t="s">
        <v>14</v>
      </c>
    </row>
    <row r="549" spans="1:10">
      <c r="A549" t="s">
        <v>789</v>
      </c>
      <c r="B549" t="s">
        <v>770</v>
      </c>
      <c r="C549" t="s">
        <v>108</v>
      </c>
      <c r="D549" s="1">
        <v>19.83</v>
      </c>
      <c r="E549" s="2">
        <v>5.7</v>
      </c>
      <c r="F549" s="2">
        <v>113.03</v>
      </c>
      <c r="G549" t="s">
        <v>771</v>
      </c>
      <c r="H549">
        <f ca="1">IF(113.03&lt;&gt;113.03,0,0)</f>
        <v>0</v>
      </c>
      <c r="I549" t="s">
        <v>14</v>
      </c>
      <c r="J549" t="s">
        <v>14</v>
      </c>
    </row>
    <row r="550" spans="1:10">
      <c r="A550" t="s">
        <v>790</v>
      </c>
      <c r="B550" t="s">
        <v>770</v>
      </c>
      <c r="C550" t="s">
        <v>144</v>
      </c>
      <c r="D550" s="1">
        <v>19.62</v>
      </c>
      <c r="E550" s="2">
        <v>6.4</v>
      </c>
      <c r="F550" s="2">
        <v>125.57</v>
      </c>
      <c r="G550" t="s">
        <v>771</v>
      </c>
      <c r="H550">
        <f ca="1">IF(125.57&lt;&gt;125.57,0,0)</f>
        <v>0</v>
      </c>
      <c r="I550" t="s">
        <v>14</v>
      </c>
      <c r="J550" t="s">
        <v>14</v>
      </c>
    </row>
    <row r="551" spans="1:10">
      <c r="A551" t="s">
        <v>791</v>
      </c>
      <c r="B551" t="s">
        <v>770</v>
      </c>
      <c r="C551" t="s">
        <v>94</v>
      </c>
      <c r="D551" s="1">
        <v>19.83</v>
      </c>
      <c r="E551" s="2">
        <v>3.7</v>
      </c>
      <c r="F551" s="2">
        <v>73.37</v>
      </c>
      <c r="G551" t="s">
        <v>771</v>
      </c>
      <c r="H551">
        <f ca="1">IF(73.37&lt;&gt;73.37,0,0)</f>
        <v>0</v>
      </c>
      <c r="I551" t="s">
        <v>14</v>
      </c>
      <c r="J551" t="s">
        <v>14</v>
      </c>
    </row>
    <row r="552" spans="1:10">
      <c r="A552" t="s">
        <v>792</v>
      </c>
      <c r="B552" t="s">
        <v>770</v>
      </c>
      <c r="C552" t="s">
        <v>793</v>
      </c>
      <c r="D552" s="1">
        <v>19.69</v>
      </c>
      <c r="E552" s="2">
        <v>5.15</v>
      </c>
      <c r="F552" s="2">
        <v>101.4</v>
      </c>
      <c r="G552" t="s">
        <v>771</v>
      </c>
      <c r="H552">
        <f ca="1">IF(101.4&lt;&gt;101.4,0,0)</f>
        <v>0</v>
      </c>
      <c r="I552" t="s">
        <v>14</v>
      </c>
      <c r="J552" t="s">
        <v>14</v>
      </c>
    </row>
    <row r="553" spans="1:10">
      <c r="A553" t="s">
        <v>794</v>
      </c>
      <c r="B553" t="s">
        <v>770</v>
      </c>
      <c r="C553" t="s">
        <v>110</v>
      </c>
      <c r="D553" s="1">
        <v>19.65</v>
      </c>
      <c r="E553" s="2">
        <v>6.2</v>
      </c>
      <c r="F553" s="2">
        <v>121.83</v>
      </c>
      <c r="G553" t="s">
        <v>771</v>
      </c>
      <c r="H553">
        <f ca="1">IF(121.83&lt;&gt;121.83,0,0)</f>
        <v>0</v>
      </c>
      <c r="I553" t="s">
        <v>14</v>
      </c>
      <c r="J553" t="s">
        <v>14</v>
      </c>
    </row>
    <row r="554" spans="1:10">
      <c r="A554" t="s">
        <v>795</v>
      </c>
      <c r="B554" t="s">
        <v>770</v>
      </c>
      <c r="C554" t="s">
        <v>108</v>
      </c>
      <c r="D554" s="1">
        <v>19.73</v>
      </c>
      <c r="E554" s="2">
        <v>5.7</v>
      </c>
      <c r="F554" s="2">
        <v>112.46</v>
      </c>
      <c r="G554" t="s">
        <v>771</v>
      </c>
      <c r="H554">
        <f ca="1">IF(112.46&lt;&gt;112.46,0,0)</f>
        <v>0</v>
      </c>
      <c r="I554" t="s">
        <v>14</v>
      </c>
      <c r="J554" t="s">
        <v>14</v>
      </c>
    </row>
    <row r="555" spans="1:10">
      <c r="A555" t="s">
        <v>796</v>
      </c>
      <c r="B555" t="s">
        <v>770</v>
      </c>
      <c r="C555" t="s">
        <v>106</v>
      </c>
      <c r="D555" s="1">
        <v>19.76</v>
      </c>
      <c r="E555" s="2">
        <v>4.55</v>
      </c>
      <c r="F555" s="2">
        <v>89.91</v>
      </c>
      <c r="G555" t="s">
        <v>771</v>
      </c>
      <c r="H555">
        <f ca="1">IF(89.91&lt;&gt;89.91,0,0)</f>
        <v>0</v>
      </c>
      <c r="I555" t="s">
        <v>14</v>
      </c>
      <c r="J555" t="s">
        <v>14</v>
      </c>
    </row>
    <row r="556" spans="1:10">
      <c r="A556" t="s">
        <v>797</v>
      </c>
      <c r="B556" t="s">
        <v>770</v>
      </c>
      <c r="C556" t="s">
        <v>144</v>
      </c>
      <c r="D556" s="1">
        <v>19.69</v>
      </c>
      <c r="E556" s="2">
        <v>6.4</v>
      </c>
      <c r="F556" s="2">
        <v>126.02</v>
      </c>
      <c r="G556" t="s">
        <v>771</v>
      </c>
      <c r="H556">
        <f ca="1">IF(126.02&lt;&gt;126.02,0,0)</f>
        <v>0</v>
      </c>
      <c r="I556" t="s">
        <v>14</v>
      </c>
      <c r="J556" t="s">
        <v>14</v>
      </c>
    </row>
    <row r="557" spans="1:10">
      <c r="A557" t="s">
        <v>798</v>
      </c>
      <c r="B557" t="s">
        <v>770</v>
      </c>
      <c r="C557" t="s">
        <v>799</v>
      </c>
      <c r="D557" s="1">
        <v>19.12</v>
      </c>
      <c r="E557" s="2">
        <v>3.7</v>
      </c>
      <c r="F557" s="2">
        <v>70.74</v>
      </c>
      <c r="G557" t="s">
        <v>771</v>
      </c>
      <c r="H557">
        <f ca="1">IF(70.74&lt;&gt;70.74,0,0)</f>
        <v>0</v>
      </c>
      <c r="I557" t="s">
        <v>14</v>
      </c>
      <c r="J557" t="s">
        <v>14</v>
      </c>
    </row>
    <row r="558" spans="1:10">
      <c r="A558" t="s">
        <v>800</v>
      </c>
      <c r="B558" t="s">
        <v>770</v>
      </c>
      <c r="C558" t="s">
        <v>801</v>
      </c>
      <c r="D558" s="1">
        <v>19.36</v>
      </c>
      <c r="E558" s="2">
        <v>5.7</v>
      </c>
      <c r="F558" s="2">
        <v>110.35</v>
      </c>
      <c r="G558" t="s">
        <v>771</v>
      </c>
      <c r="H558">
        <f ca="1">IF(110.35&lt;&gt;110.35,0,0)</f>
        <v>0</v>
      </c>
      <c r="I558" t="s">
        <v>14</v>
      </c>
      <c r="J558" t="s">
        <v>14</v>
      </c>
    </row>
    <row r="559" spans="1:10">
      <c r="A559" t="s">
        <v>802</v>
      </c>
      <c r="B559" t="s">
        <v>770</v>
      </c>
      <c r="C559" t="s">
        <v>161</v>
      </c>
      <c r="D559" s="1">
        <v>19.12</v>
      </c>
      <c r="E559" s="2">
        <v>4.95</v>
      </c>
      <c r="F559" s="2">
        <v>94.64</v>
      </c>
      <c r="G559" t="s">
        <v>771</v>
      </c>
      <c r="H559">
        <f ca="1">IF(94.64&lt;&gt;94.64,0,0)</f>
        <v>0</v>
      </c>
      <c r="I559" t="s">
        <v>14</v>
      </c>
      <c r="J559" t="s">
        <v>14</v>
      </c>
    </row>
    <row r="560" spans="1:10">
      <c r="A560" t="s">
        <v>803</v>
      </c>
      <c r="B560" t="s">
        <v>770</v>
      </c>
      <c r="C560" t="s">
        <v>666</v>
      </c>
      <c r="D560" s="1">
        <v>19.15</v>
      </c>
      <c r="E560" s="2">
        <v>5.95</v>
      </c>
      <c r="F560" s="2">
        <v>113.94</v>
      </c>
      <c r="G560" t="s">
        <v>771</v>
      </c>
      <c r="H560">
        <f ca="1">IF(113.94&lt;&gt;113.94,0,0)</f>
        <v>0</v>
      </c>
      <c r="I560" t="s">
        <v>14</v>
      </c>
      <c r="J560" t="s">
        <v>14</v>
      </c>
    </row>
    <row r="561" spans="1:10">
      <c r="A561" t="s">
        <v>804</v>
      </c>
      <c r="B561" t="s">
        <v>770</v>
      </c>
      <c r="C561" t="s">
        <v>805</v>
      </c>
      <c r="D561" s="1">
        <v>19.22</v>
      </c>
      <c r="E561" s="2">
        <v>4.4</v>
      </c>
      <c r="F561" s="2">
        <v>84.57</v>
      </c>
      <c r="G561" t="s">
        <v>771</v>
      </c>
      <c r="H561">
        <f ca="1">IF(84.57&lt;&gt;84.57,0,0)</f>
        <v>0</v>
      </c>
      <c r="I561" t="s">
        <v>14</v>
      </c>
      <c r="J561" t="s">
        <v>14</v>
      </c>
    </row>
    <row r="562" spans="1:10">
      <c r="A562" t="s">
        <v>806</v>
      </c>
      <c r="B562" t="s">
        <v>770</v>
      </c>
      <c r="C562" t="s">
        <v>168</v>
      </c>
      <c r="D562" s="1">
        <v>19.27</v>
      </c>
      <c r="E562" s="2">
        <v>5.95</v>
      </c>
      <c r="F562" s="2">
        <v>114.66</v>
      </c>
      <c r="G562" t="s">
        <v>771</v>
      </c>
      <c r="H562">
        <f ca="1">IF(114.66&lt;&gt;114.66,0,0)</f>
        <v>0</v>
      </c>
      <c r="I562" t="s">
        <v>14</v>
      </c>
      <c r="J562" t="s">
        <v>14</v>
      </c>
    </row>
    <row r="563" spans="1:10">
      <c r="A563" t="s">
        <v>807</v>
      </c>
      <c r="B563" t="s">
        <v>770</v>
      </c>
      <c r="C563" t="s">
        <v>170</v>
      </c>
      <c r="D563" s="1">
        <v>19.23</v>
      </c>
      <c r="E563" s="2">
        <v>5.95</v>
      </c>
      <c r="F563" s="2">
        <v>114.42</v>
      </c>
      <c r="G563" t="s">
        <v>771</v>
      </c>
      <c r="H563">
        <f ca="1">IF(114.42&lt;&gt;114.42,0,0)</f>
        <v>0</v>
      </c>
      <c r="I563" t="s">
        <v>14</v>
      </c>
      <c r="J563" t="s">
        <v>14</v>
      </c>
    </row>
    <row r="564" spans="1:10">
      <c r="A564" t="s">
        <v>808</v>
      </c>
      <c r="B564" t="s">
        <v>770</v>
      </c>
      <c r="C564" t="s">
        <v>805</v>
      </c>
      <c r="D564" s="1">
        <v>19.19</v>
      </c>
      <c r="E564" s="2">
        <v>4.4</v>
      </c>
      <c r="F564" s="2">
        <v>84.44</v>
      </c>
      <c r="G564" t="s">
        <v>771</v>
      </c>
      <c r="H564">
        <f ca="1">IF(84.44&lt;&gt;84.44,0,0)</f>
        <v>0</v>
      </c>
      <c r="I564" t="s">
        <v>14</v>
      </c>
      <c r="J564" t="s">
        <v>14</v>
      </c>
    </row>
    <row r="565" spans="1:10">
      <c r="A565" t="s">
        <v>809</v>
      </c>
      <c r="B565" t="s">
        <v>810</v>
      </c>
      <c r="C565" t="s">
        <v>68</v>
      </c>
      <c r="D565" s="1">
        <v>19.16</v>
      </c>
      <c r="E565" s="2">
        <v>6.95</v>
      </c>
      <c r="F565" s="2">
        <v>133.16</v>
      </c>
      <c r="G565" t="s">
        <v>811</v>
      </c>
      <c r="H565">
        <f ca="1">IF(133.16&lt;&gt;133.16,0,0)</f>
        <v>0</v>
      </c>
      <c r="I565" t="s">
        <v>14</v>
      </c>
      <c r="J565" t="s">
        <v>14</v>
      </c>
    </row>
    <row r="566" spans="1:10">
      <c r="A566" t="s">
        <v>812</v>
      </c>
      <c r="B566" t="s">
        <v>810</v>
      </c>
      <c r="C566" t="s">
        <v>583</v>
      </c>
      <c r="D566" s="1">
        <v>19.11</v>
      </c>
      <c r="E566" s="2">
        <v>4.2</v>
      </c>
      <c r="F566" s="2">
        <v>80.26</v>
      </c>
      <c r="G566" t="s">
        <v>811</v>
      </c>
      <c r="H566">
        <f ca="1">IF(80.26&lt;&gt;80.26,0,0)</f>
        <v>0</v>
      </c>
      <c r="I566" t="s">
        <v>14</v>
      </c>
      <c r="J566" t="s">
        <v>14</v>
      </c>
    </row>
    <row r="567" spans="1:10">
      <c r="A567" t="s">
        <v>813</v>
      </c>
      <c r="B567" t="s">
        <v>810</v>
      </c>
      <c r="C567" t="s">
        <v>571</v>
      </c>
      <c r="D567" s="1">
        <v>19.14</v>
      </c>
      <c r="E567" s="2">
        <v>3.5</v>
      </c>
      <c r="F567" s="2">
        <v>66.99</v>
      </c>
      <c r="G567" t="s">
        <v>811</v>
      </c>
      <c r="H567">
        <f ca="1">IF(66.99&lt;&gt;66.99,0,0)</f>
        <v>0</v>
      </c>
      <c r="I567" t="s">
        <v>14</v>
      </c>
      <c r="J567" t="s">
        <v>14</v>
      </c>
    </row>
    <row r="568" spans="1:10">
      <c r="A568" t="s">
        <v>814</v>
      </c>
      <c r="B568" t="s">
        <v>810</v>
      </c>
      <c r="C568" t="s">
        <v>571</v>
      </c>
      <c r="D568" s="1">
        <v>19.05</v>
      </c>
      <c r="E568" s="2">
        <v>3.5</v>
      </c>
      <c r="F568" s="2">
        <v>66.68</v>
      </c>
      <c r="G568" t="s">
        <v>811</v>
      </c>
      <c r="H568">
        <f ca="1">IF(66.68&lt;&gt;66.68,0,0)</f>
        <v>0</v>
      </c>
      <c r="I568" t="s">
        <v>14</v>
      </c>
      <c r="J568" t="s">
        <v>14</v>
      </c>
    </row>
    <row r="569" spans="1:10">
      <c r="A569" t="s">
        <v>815</v>
      </c>
      <c r="B569" t="s">
        <v>810</v>
      </c>
      <c r="C569" t="s">
        <v>574</v>
      </c>
      <c r="D569" s="1">
        <v>18.69</v>
      </c>
      <c r="E569" s="2">
        <v>7.5</v>
      </c>
      <c r="F569" s="2">
        <v>140.18</v>
      </c>
      <c r="G569" t="s">
        <v>811</v>
      </c>
      <c r="H569">
        <f ca="1">IF(140.18&lt;&gt;140.18,0,0)</f>
        <v>0</v>
      </c>
      <c r="I569" t="s">
        <v>14</v>
      </c>
      <c r="J569" t="s">
        <v>14</v>
      </c>
    </row>
    <row r="570" spans="1:10">
      <c r="A570" t="s">
        <v>816</v>
      </c>
      <c r="B570" t="s">
        <v>810</v>
      </c>
      <c r="C570" t="s">
        <v>817</v>
      </c>
      <c r="D570" s="1">
        <v>19.13</v>
      </c>
      <c r="E570" s="2">
        <v>4.4</v>
      </c>
      <c r="F570" s="2">
        <v>84.17</v>
      </c>
      <c r="G570" t="s">
        <v>811</v>
      </c>
      <c r="H570">
        <f ca="1">IF(84.17&lt;&gt;84.17,0,0)</f>
        <v>0</v>
      </c>
      <c r="I570" t="s">
        <v>14</v>
      </c>
      <c r="J570" t="s">
        <v>14</v>
      </c>
    </row>
    <row r="571" spans="1:10">
      <c r="A571" t="s">
        <v>818</v>
      </c>
      <c r="B571" t="s">
        <v>810</v>
      </c>
      <c r="C571" t="s">
        <v>592</v>
      </c>
      <c r="D571" s="1">
        <v>19.05</v>
      </c>
      <c r="E571" s="2">
        <v>4.55</v>
      </c>
      <c r="F571" s="2">
        <v>86.68</v>
      </c>
      <c r="G571" t="s">
        <v>811</v>
      </c>
      <c r="H571">
        <f ca="1">IF(86.68&lt;&gt;86.68,0,0)</f>
        <v>0</v>
      </c>
      <c r="I571" t="s">
        <v>14</v>
      </c>
      <c r="J571" t="s">
        <v>14</v>
      </c>
    </row>
    <row r="572" spans="1:10">
      <c r="A572" t="s">
        <v>819</v>
      </c>
      <c r="B572" t="s">
        <v>810</v>
      </c>
      <c r="C572" t="s">
        <v>627</v>
      </c>
      <c r="D572" s="1">
        <v>19.01</v>
      </c>
      <c r="E572" s="2">
        <v>4.2</v>
      </c>
      <c r="F572" s="2">
        <v>79.84</v>
      </c>
      <c r="G572" t="s">
        <v>811</v>
      </c>
      <c r="H572">
        <f ca="1">IF(79.84&lt;&gt;79.84,0,0)</f>
        <v>0</v>
      </c>
      <c r="I572" t="s">
        <v>14</v>
      </c>
      <c r="J572" t="s">
        <v>14</v>
      </c>
    </row>
    <row r="573" spans="1:10">
      <c r="A573" t="s">
        <v>820</v>
      </c>
      <c r="B573" t="s">
        <v>810</v>
      </c>
      <c r="C573" t="s">
        <v>71</v>
      </c>
      <c r="D573" s="1">
        <v>19.13</v>
      </c>
      <c r="E573" s="2">
        <v>5.95</v>
      </c>
      <c r="F573" s="2">
        <v>113.82</v>
      </c>
      <c r="G573" t="s">
        <v>811</v>
      </c>
      <c r="H573">
        <f ca="1">IF(113.82&lt;&gt;113.82,0,0)</f>
        <v>0</v>
      </c>
      <c r="I573" t="s">
        <v>14</v>
      </c>
      <c r="J573" t="s">
        <v>14</v>
      </c>
    </row>
    <row r="574" spans="1:10">
      <c r="A574" t="s">
        <v>821</v>
      </c>
      <c r="B574" t="s">
        <v>810</v>
      </c>
      <c r="C574" t="s">
        <v>576</v>
      </c>
      <c r="D574" s="1">
        <v>19.19</v>
      </c>
      <c r="E574" s="2">
        <v>3.7</v>
      </c>
      <c r="F574" s="2">
        <v>71</v>
      </c>
      <c r="G574" t="s">
        <v>811</v>
      </c>
      <c r="H574">
        <f ca="1">IF(71&lt;&gt;71,0,0)</f>
        <v>0</v>
      </c>
      <c r="I574" t="s">
        <v>14</v>
      </c>
      <c r="J574" t="s">
        <v>14</v>
      </c>
    </row>
    <row r="575" spans="1:10">
      <c r="A575" t="s">
        <v>822</v>
      </c>
      <c r="B575" t="s">
        <v>810</v>
      </c>
      <c r="C575" t="s">
        <v>583</v>
      </c>
      <c r="D575" s="1">
        <v>19.18</v>
      </c>
      <c r="E575" s="2">
        <v>4.2</v>
      </c>
      <c r="F575" s="2">
        <v>80.56</v>
      </c>
      <c r="G575" t="s">
        <v>811</v>
      </c>
      <c r="H575">
        <f ca="1">IF(80.56&lt;&gt;80.56,0,0)</f>
        <v>0</v>
      </c>
      <c r="I575" t="s">
        <v>14</v>
      </c>
      <c r="J575" t="s">
        <v>14</v>
      </c>
    </row>
    <row r="576" spans="1:10">
      <c r="A576" t="s">
        <v>823</v>
      </c>
      <c r="B576" t="s">
        <v>810</v>
      </c>
      <c r="C576" t="s">
        <v>583</v>
      </c>
      <c r="D576" s="1">
        <v>19.2</v>
      </c>
      <c r="E576" s="2">
        <v>4.2</v>
      </c>
      <c r="F576" s="2">
        <v>80.64</v>
      </c>
      <c r="G576" t="s">
        <v>811</v>
      </c>
      <c r="H576">
        <f ca="1">IF(80.64&lt;&gt;80.64,0,0)</f>
        <v>0</v>
      </c>
      <c r="I576" t="s">
        <v>14</v>
      </c>
      <c r="J576" t="s">
        <v>14</v>
      </c>
    </row>
    <row r="577" spans="1:10">
      <c r="A577" t="s">
        <v>824</v>
      </c>
      <c r="B577" t="s">
        <v>810</v>
      </c>
      <c r="C577" t="s">
        <v>627</v>
      </c>
      <c r="D577" s="1">
        <v>19.13</v>
      </c>
      <c r="E577" s="2">
        <v>4.2</v>
      </c>
      <c r="F577" s="2">
        <v>80.35</v>
      </c>
      <c r="G577" t="s">
        <v>811</v>
      </c>
      <c r="H577">
        <f ca="1">IF(80.35&lt;&gt;80.35,0,0)</f>
        <v>0</v>
      </c>
      <c r="I577" t="s">
        <v>14</v>
      </c>
      <c r="J577" t="s">
        <v>14</v>
      </c>
    </row>
    <row r="578" spans="1:10">
      <c r="A578" t="s">
        <v>825</v>
      </c>
      <c r="B578" t="s">
        <v>810</v>
      </c>
      <c r="C578" t="s">
        <v>585</v>
      </c>
      <c r="D578" s="1">
        <v>19.2</v>
      </c>
      <c r="E578" s="2">
        <v>6.2</v>
      </c>
      <c r="F578" s="2">
        <v>119.04</v>
      </c>
      <c r="G578" t="s">
        <v>811</v>
      </c>
      <c r="H578">
        <f ca="1">IF(119.04&lt;&gt;119.04,0,0)</f>
        <v>0</v>
      </c>
      <c r="I578" t="s">
        <v>14</v>
      </c>
      <c r="J578" t="s">
        <v>14</v>
      </c>
    </row>
    <row r="579" spans="1:10">
      <c r="A579" t="s">
        <v>826</v>
      </c>
      <c r="B579" t="s">
        <v>810</v>
      </c>
      <c r="C579" t="s">
        <v>827</v>
      </c>
      <c r="D579" s="1">
        <v>19.17</v>
      </c>
      <c r="E579" s="2">
        <v>3.7</v>
      </c>
      <c r="F579" s="2">
        <v>70.93</v>
      </c>
      <c r="G579" t="s">
        <v>811</v>
      </c>
      <c r="H579">
        <f ca="1">IF(70.93&lt;&gt;70.93,0,0)</f>
        <v>0</v>
      </c>
      <c r="I579" t="s">
        <v>14</v>
      </c>
      <c r="J579" t="s">
        <v>14</v>
      </c>
    </row>
    <row r="580" spans="1:10">
      <c r="A580" t="s">
        <v>828</v>
      </c>
      <c r="B580" t="s">
        <v>810</v>
      </c>
      <c r="C580" t="s">
        <v>583</v>
      </c>
      <c r="D580" s="1">
        <v>19.21</v>
      </c>
      <c r="E580" s="2">
        <v>4.95</v>
      </c>
      <c r="F580" s="2">
        <v>95.09</v>
      </c>
      <c r="G580" t="s">
        <v>811</v>
      </c>
      <c r="H580">
        <f ca="1">IF(95.09&lt;&gt;95.09,0,0)</f>
        <v>0</v>
      </c>
      <c r="I580" t="s">
        <v>14</v>
      </c>
      <c r="J580" t="s">
        <v>14</v>
      </c>
    </row>
    <row r="581" spans="1:10">
      <c r="A581" t="s">
        <v>829</v>
      </c>
      <c r="B581" t="s">
        <v>810</v>
      </c>
      <c r="C581" t="s">
        <v>71</v>
      </c>
      <c r="D581" s="1">
        <v>19.07</v>
      </c>
      <c r="E581" s="2">
        <v>5.95</v>
      </c>
      <c r="F581" s="2">
        <v>113.47</v>
      </c>
      <c r="G581" t="s">
        <v>811</v>
      </c>
      <c r="H581">
        <f ca="1">IF(113.47&lt;&gt;113.47,0,0)</f>
        <v>0</v>
      </c>
      <c r="I581" t="s">
        <v>14</v>
      </c>
      <c r="J581" t="s">
        <v>14</v>
      </c>
    </row>
    <row r="582" spans="1:10">
      <c r="A582" t="s">
        <v>830</v>
      </c>
      <c r="B582" t="s">
        <v>810</v>
      </c>
      <c r="C582" t="s">
        <v>831</v>
      </c>
      <c r="D582" s="1">
        <v>19.14</v>
      </c>
      <c r="E582" s="2">
        <v>4.2</v>
      </c>
      <c r="F582" s="2">
        <v>80.39</v>
      </c>
      <c r="G582" t="s">
        <v>811</v>
      </c>
      <c r="H582">
        <f ca="1">IF(80.39&lt;&gt;80.39,0,0)</f>
        <v>0</v>
      </c>
      <c r="I582" t="s">
        <v>14</v>
      </c>
      <c r="J582" t="s">
        <v>14</v>
      </c>
    </row>
    <row r="583" spans="1:10">
      <c r="A583" t="s">
        <v>832</v>
      </c>
      <c r="B583" t="s">
        <v>810</v>
      </c>
      <c r="C583" t="s">
        <v>833</v>
      </c>
      <c r="D583" s="1">
        <v>19.21</v>
      </c>
      <c r="E583" s="2">
        <v>5.7</v>
      </c>
      <c r="F583" s="2">
        <v>109.5</v>
      </c>
      <c r="G583" t="s">
        <v>811</v>
      </c>
      <c r="H583">
        <f ca="1">IF(109.5&lt;&gt;109.5,0,0)</f>
        <v>0</v>
      </c>
      <c r="I583" t="s">
        <v>14</v>
      </c>
      <c r="J583" t="s">
        <v>14</v>
      </c>
    </row>
    <row r="584" spans="1:10">
      <c r="A584" t="s">
        <v>834</v>
      </c>
      <c r="B584" t="s">
        <v>810</v>
      </c>
      <c r="C584" t="s">
        <v>835</v>
      </c>
      <c r="D584" s="1">
        <v>19.18</v>
      </c>
      <c r="E584" s="2">
        <v>6.4</v>
      </c>
      <c r="F584" s="2">
        <v>122.75</v>
      </c>
      <c r="G584" t="s">
        <v>811</v>
      </c>
      <c r="H584">
        <f ca="1">IF(122.75&lt;&gt;122.75,0,0)</f>
        <v>0</v>
      </c>
      <c r="I584" t="s">
        <v>14</v>
      </c>
      <c r="J584" t="s">
        <v>14</v>
      </c>
    </row>
    <row r="585" spans="1:10">
      <c r="A585" t="s">
        <v>836</v>
      </c>
      <c r="B585" t="s">
        <v>810</v>
      </c>
      <c r="C585" t="s">
        <v>583</v>
      </c>
      <c r="D585" s="1">
        <v>19.19</v>
      </c>
      <c r="E585" s="2">
        <v>4.95</v>
      </c>
      <c r="F585" s="2">
        <v>94.99</v>
      </c>
      <c r="G585" t="s">
        <v>811</v>
      </c>
      <c r="H585">
        <f ca="1">IF(94.99&lt;&gt;94.99,0,0)</f>
        <v>0</v>
      </c>
      <c r="I585" t="s">
        <v>14</v>
      </c>
      <c r="J585" t="s">
        <v>14</v>
      </c>
    </row>
    <row r="586" spans="1:10">
      <c r="A586" t="s">
        <v>837</v>
      </c>
      <c r="B586" t="s">
        <v>810</v>
      </c>
      <c r="C586" t="s">
        <v>838</v>
      </c>
      <c r="D586" s="1">
        <v>19.23</v>
      </c>
      <c r="E586" s="2">
        <v>5.7</v>
      </c>
      <c r="F586" s="2">
        <v>109.61</v>
      </c>
      <c r="G586" t="s">
        <v>811</v>
      </c>
      <c r="H586">
        <f ca="1">IF(109.61&lt;&gt;109.61,0,0)</f>
        <v>0</v>
      </c>
      <c r="I586" t="s">
        <v>14</v>
      </c>
      <c r="J586" t="s">
        <v>14</v>
      </c>
    </row>
    <row r="587" spans="1:10">
      <c r="A587" t="s">
        <v>839</v>
      </c>
      <c r="B587" t="s">
        <v>810</v>
      </c>
      <c r="C587" t="s">
        <v>840</v>
      </c>
      <c r="D587" s="1">
        <v>19.2</v>
      </c>
      <c r="E587" s="2">
        <v>5.45</v>
      </c>
      <c r="F587" s="2">
        <v>104.64</v>
      </c>
      <c r="G587" t="s">
        <v>811</v>
      </c>
      <c r="H587">
        <f ca="1">IF(104.64&lt;&gt;104.64,0,0)</f>
        <v>0</v>
      </c>
      <c r="I587" t="s">
        <v>14</v>
      </c>
      <c r="J587" t="s">
        <v>14</v>
      </c>
    </row>
    <row r="588" spans="1:10">
      <c r="A588" t="s">
        <v>841</v>
      </c>
      <c r="B588" t="s">
        <v>810</v>
      </c>
      <c r="C588" t="s">
        <v>842</v>
      </c>
      <c r="D588" s="1">
        <v>19.15</v>
      </c>
      <c r="E588" s="2">
        <v>6.4</v>
      </c>
      <c r="F588" s="2">
        <v>122.56</v>
      </c>
      <c r="G588" t="s">
        <v>811</v>
      </c>
      <c r="H588">
        <f ca="1">IF(122.56&lt;&gt;122.56,0,0)</f>
        <v>0</v>
      </c>
      <c r="I588" t="s">
        <v>14</v>
      </c>
      <c r="J588" t="s">
        <v>14</v>
      </c>
    </row>
    <row r="589" spans="1:10">
      <c r="A589" t="s">
        <v>843</v>
      </c>
      <c r="B589" t="s">
        <v>810</v>
      </c>
      <c r="C589" t="s">
        <v>844</v>
      </c>
      <c r="D589" s="1">
        <v>19.15</v>
      </c>
      <c r="E589" s="2">
        <v>3.7</v>
      </c>
      <c r="F589" s="2">
        <v>70.86</v>
      </c>
      <c r="G589" t="s">
        <v>811</v>
      </c>
      <c r="H589">
        <f ca="1">IF(70.86&lt;&gt;70.86,0,0)</f>
        <v>0</v>
      </c>
      <c r="I589" t="s">
        <v>14</v>
      </c>
      <c r="J589" t="s">
        <v>14</v>
      </c>
    </row>
    <row r="590" spans="1:10">
      <c r="A590" t="s">
        <v>845</v>
      </c>
      <c r="B590" t="s">
        <v>810</v>
      </c>
      <c r="C590" t="s">
        <v>581</v>
      </c>
      <c r="D590" s="1">
        <v>19.17</v>
      </c>
      <c r="E590" s="2">
        <v>5.15</v>
      </c>
      <c r="F590" s="2">
        <v>98.73</v>
      </c>
      <c r="G590" t="s">
        <v>811</v>
      </c>
      <c r="H590">
        <f ca="1">IF(98.73&lt;&gt;98.73,0,0)</f>
        <v>0</v>
      </c>
      <c r="I590" t="s">
        <v>14</v>
      </c>
      <c r="J590" t="s">
        <v>14</v>
      </c>
    </row>
    <row r="591" spans="1:10">
      <c r="A591" t="s">
        <v>846</v>
      </c>
      <c r="B591" t="s">
        <v>810</v>
      </c>
      <c r="C591" t="s">
        <v>627</v>
      </c>
      <c r="D591" s="1">
        <v>19.28</v>
      </c>
      <c r="E591" s="2">
        <v>4.2</v>
      </c>
      <c r="F591" s="2">
        <v>80.98</v>
      </c>
      <c r="G591" t="s">
        <v>811</v>
      </c>
      <c r="H591">
        <f ca="1">IF(80.98&lt;&gt;80.98,0,0)</f>
        <v>0</v>
      </c>
      <c r="I591" t="s">
        <v>14</v>
      </c>
      <c r="J591" t="s">
        <v>14</v>
      </c>
    </row>
    <row r="592" spans="1:10">
      <c r="A592" t="s">
        <v>847</v>
      </c>
      <c r="B592" t="s">
        <v>810</v>
      </c>
      <c r="C592" t="s">
        <v>722</v>
      </c>
      <c r="D592" s="1">
        <v>19.07</v>
      </c>
      <c r="E592" s="2">
        <v>5.95</v>
      </c>
      <c r="F592" s="2">
        <v>113.47</v>
      </c>
      <c r="G592" t="s">
        <v>811</v>
      </c>
      <c r="H592">
        <f ca="1">IF(113.47&lt;&gt;113.47,0,0)</f>
        <v>0</v>
      </c>
      <c r="I592" t="s">
        <v>14</v>
      </c>
      <c r="J592" t="s">
        <v>14</v>
      </c>
    </row>
    <row r="593" spans="1:10">
      <c r="A593" t="s">
        <v>848</v>
      </c>
      <c r="B593" t="s">
        <v>849</v>
      </c>
      <c r="C593" t="s">
        <v>68</v>
      </c>
      <c r="D593" s="1">
        <v>19.91</v>
      </c>
      <c r="E593" s="2">
        <v>6.95</v>
      </c>
      <c r="F593" s="2">
        <v>138.37</v>
      </c>
      <c r="G593" t="s">
        <v>850</v>
      </c>
      <c r="H593">
        <f ca="1">IF(138.37&lt;&gt;138.37,0,0)</f>
        <v>0</v>
      </c>
      <c r="I593" t="s">
        <v>14</v>
      </c>
      <c r="J593" t="s">
        <v>14</v>
      </c>
    </row>
    <row r="594" spans="1:10">
      <c r="A594" t="s">
        <v>851</v>
      </c>
      <c r="B594" t="s">
        <v>849</v>
      </c>
      <c r="C594" t="s">
        <v>583</v>
      </c>
      <c r="D594" s="1">
        <v>19.71</v>
      </c>
      <c r="E594" s="2">
        <v>4.2</v>
      </c>
      <c r="F594" s="2">
        <v>82.78</v>
      </c>
      <c r="G594" t="s">
        <v>850</v>
      </c>
      <c r="H594">
        <f ca="1">IF(82.78&lt;&gt;82.78,0,0)</f>
        <v>0</v>
      </c>
      <c r="I594" t="s">
        <v>14</v>
      </c>
      <c r="J594" t="s">
        <v>14</v>
      </c>
    </row>
    <row r="595" spans="1:10">
      <c r="A595" t="s">
        <v>852</v>
      </c>
      <c r="B595" t="s">
        <v>849</v>
      </c>
      <c r="C595" t="s">
        <v>571</v>
      </c>
      <c r="D595" s="1">
        <v>19.87</v>
      </c>
      <c r="E595" s="2">
        <v>3.5</v>
      </c>
      <c r="F595" s="2">
        <v>69.55</v>
      </c>
      <c r="G595" t="s">
        <v>850</v>
      </c>
      <c r="H595">
        <f ca="1">IF(69.55&lt;&gt;69.54,0.009999999999990905,0)</f>
        <v>0</v>
      </c>
      <c r="I595" t="s">
        <v>14</v>
      </c>
      <c r="J595" t="s">
        <v>14</v>
      </c>
    </row>
    <row r="596" spans="1:10">
      <c r="A596" t="s">
        <v>853</v>
      </c>
      <c r="B596" t="s">
        <v>849</v>
      </c>
      <c r="C596" t="s">
        <v>592</v>
      </c>
      <c r="D596" s="1">
        <v>19.84</v>
      </c>
      <c r="E596" s="2">
        <v>4.55</v>
      </c>
      <c r="F596" s="2">
        <v>90.27</v>
      </c>
      <c r="G596" t="s">
        <v>850</v>
      </c>
      <c r="H596">
        <f ca="1">IF(90.27&lt;&gt;90.27,0,0)</f>
        <v>0</v>
      </c>
      <c r="I596" t="s">
        <v>14</v>
      </c>
      <c r="J596" t="s">
        <v>14</v>
      </c>
    </row>
    <row r="597" spans="1:10">
      <c r="A597" t="s">
        <v>854</v>
      </c>
      <c r="B597" t="s">
        <v>849</v>
      </c>
      <c r="C597" t="s">
        <v>817</v>
      </c>
      <c r="D597" s="1">
        <v>19.92</v>
      </c>
      <c r="E597" s="2">
        <v>4.4</v>
      </c>
      <c r="F597" s="2">
        <v>87.65</v>
      </c>
      <c r="G597" t="s">
        <v>850</v>
      </c>
      <c r="H597">
        <f ca="1">IF(87.65&lt;&gt;87.65,0,0)</f>
        <v>0</v>
      </c>
      <c r="I597" t="s">
        <v>14</v>
      </c>
      <c r="J597" t="s">
        <v>14</v>
      </c>
    </row>
    <row r="598" spans="1:10">
      <c r="A598" t="s">
        <v>855</v>
      </c>
      <c r="B598" t="s">
        <v>849</v>
      </c>
      <c r="C598" t="s">
        <v>592</v>
      </c>
      <c r="D598" s="1">
        <v>19.92</v>
      </c>
      <c r="E598" s="2">
        <v>4.55</v>
      </c>
      <c r="F598" s="2">
        <v>90.64</v>
      </c>
      <c r="G598" t="s">
        <v>850</v>
      </c>
      <c r="H598">
        <f ca="1">IF(90.64&lt;&gt;90.64,0,0)</f>
        <v>0</v>
      </c>
      <c r="I598" t="s">
        <v>14</v>
      </c>
      <c r="J598" t="s">
        <v>14</v>
      </c>
    </row>
    <row r="599" spans="1:10">
      <c r="A599" t="s">
        <v>856</v>
      </c>
      <c r="B599" t="s">
        <v>849</v>
      </c>
      <c r="C599" t="s">
        <v>583</v>
      </c>
      <c r="D599" s="1">
        <v>19.91</v>
      </c>
      <c r="E599" s="2">
        <v>4.2</v>
      </c>
      <c r="F599" s="2">
        <v>83.62</v>
      </c>
      <c r="G599" t="s">
        <v>850</v>
      </c>
      <c r="H599">
        <f ca="1">IF(83.62&lt;&gt;83.62,0,0)</f>
        <v>0</v>
      </c>
      <c r="I599" t="s">
        <v>14</v>
      </c>
      <c r="J599" t="s">
        <v>14</v>
      </c>
    </row>
    <row r="600" spans="1:10">
      <c r="A600" t="s">
        <v>857</v>
      </c>
      <c r="B600" t="s">
        <v>849</v>
      </c>
      <c r="C600" t="s">
        <v>71</v>
      </c>
      <c r="D600" s="1">
        <v>19.95</v>
      </c>
      <c r="E600" s="2">
        <v>5.95</v>
      </c>
      <c r="F600" s="2">
        <v>118.7</v>
      </c>
      <c r="G600" t="s">
        <v>850</v>
      </c>
      <c r="H600">
        <f ca="1">IF(118.7&lt;&gt;118.7,0,0)</f>
        <v>0</v>
      </c>
      <c r="I600" t="s">
        <v>14</v>
      </c>
      <c r="J600" t="s">
        <v>14</v>
      </c>
    </row>
    <row r="601" spans="1:10">
      <c r="A601" t="s">
        <v>858</v>
      </c>
      <c r="B601" t="s">
        <v>849</v>
      </c>
      <c r="C601" t="s">
        <v>71</v>
      </c>
      <c r="D601" s="1">
        <v>19.83</v>
      </c>
      <c r="E601" s="2">
        <v>5.95</v>
      </c>
      <c r="F601" s="2">
        <v>117.99</v>
      </c>
      <c r="G601" t="s">
        <v>850</v>
      </c>
      <c r="H601">
        <f ca="1">IF(117.99&lt;&gt;117.99,0,0)</f>
        <v>0</v>
      </c>
      <c r="I601" t="s">
        <v>14</v>
      </c>
      <c r="J601" t="s">
        <v>14</v>
      </c>
    </row>
    <row r="602" spans="1:10">
      <c r="A602" t="s">
        <v>859</v>
      </c>
      <c r="B602" t="s">
        <v>849</v>
      </c>
      <c r="C602" t="s">
        <v>583</v>
      </c>
      <c r="D602" s="1">
        <v>20.19</v>
      </c>
      <c r="E602" s="2">
        <v>4.2</v>
      </c>
      <c r="F602" s="2">
        <v>84.8</v>
      </c>
      <c r="G602" t="s">
        <v>850</v>
      </c>
      <c r="H602">
        <f ca="1">IF(84.8&lt;&gt;84.8,0,0)</f>
        <v>0</v>
      </c>
      <c r="I602" t="s">
        <v>14</v>
      </c>
      <c r="J602" t="s">
        <v>14</v>
      </c>
    </row>
    <row r="603" spans="1:10">
      <c r="A603" t="s">
        <v>860</v>
      </c>
      <c r="B603" t="s">
        <v>849</v>
      </c>
      <c r="C603" t="s">
        <v>625</v>
      </c>
      <c r="D603" s="1">
        <v>20.17</v>
      </c>
      <c r="E603" s="2">
        <v>5.15</v>
      </c>
      <c r="F603" s="2">
        <v>103.88</v>
      </c>
      <c r="G603" t="s">
        <v>850</v>
      </c>
      <c r="H603">
        <f ca="1">IF(103.88&lt;&gt;103.88,0,0)</f>
        <v>0</v>
      </c>
      <c r="I603" t="s">
        <v>14</v>
      </c>
      <c r="J603" t="s">
        <v>14</v>
      </c>
    </row>
    <row r="604" spans="1:10">
      <c r="A604" t="s">
        <v>861</v>
      </c>
      <c r="B604" t="s">
        <v>849</v>
      </c>
      <c r="C604" t="s">
        <v>592</v>
      </c>
      <c r="D604" s="1">
        <v>20.15</v>
      </c>
      <c r="E604" s="2">
        <v>4.55</v>
      </c>
      <c r="F604" s="2">
        <v>91.68</v>
      </c>
      <c r="G604" t="s">
        <v>850</v>
      </c>
      <c r="H604">
        <f ca="1">IF(91.68&lt;&gt;91.68,0,0)</f>
        <v>0</v>
      </c>
      <c r="I604" t="s">
        <v>14</v>
      </c>
      <c r="J604" t="s">
        <v>14</v>
      </c>
    </row>
    <row r="605" spans="1:10">
      <c r="A605" t="s">
        <v>862</v>
      </c>
      <c r="B605" t="s">
        <v>849</v>
      </c>
      <c r="C605" t="s">
        <v>583</v>
      </c>
      <c r="D605" s="1">
        <v>20.12</v>
      </c>
      <c r="E605" s="2">
        <v>4.2</v>
      </c>
      <c r="F605" s="2">
        <v>84.5</v>
      </c>
      <c r="G605" t="s">
        <v>850</v>
      </c>
      <c r="H605">
        <f ca="1">IF(84.5&lt;&gt;84.5,0,0)</f>
        <v>0</v>
      </c>
      <c r="I605" t="s">
        <v>14</v>
      </c>
      <c r="J605" t="s">
        <v>14</v>
      </c>
    </row>
    <row r="606" spans="1:10">
      <c r="A606" t="s">
        <v>863</v>
      </c>
      <c r="B606" t="s">
        <v>849</v>
      </c>
      <c r="C606" t="s">
        <v>581</v>
      </c>
      <c r="D606" s="1">
        <v>20.16</v>
      </c>
      <c r="E606" s="2">
        <v>5.15</v>
      </c>
      <c r="F606" s="2">
        <v>103.82</v>
      </c>
      <c r="G606" t="s">
        <v>850</v>
      </c>
      <c r="H606">
        <f ca="1">IF(103.82&lt;&gt;103.82,0,0)</f>
        <v>0</v>
      </c>
      <c r="I606" t="s">
        <v>14</v>
      </c>
      <c r="J606" t="s">
        <v>14</v>
      </c>
    </row>
    <row r="607" spans="1:10">
      <c r="A607" t="s">
        <v>864</v>
      </c>
      <c r="B607" t="s">
        <v>849</v>
      </c>
      <c r="C607" t="s">
        <v>865</v>
      </c>
      <c r="D607" s="1">
        <v>20.17</v>
      </c>
      <c r="E607" s="2">
        <v>4.55</v>
      </c>
      <c r="F607" s="2">
        <v>91.77</v>
      </c>
      <c r="G607" t="s">
        <v>850</v>
      </c>
      <c r="H607">
        <f ca="1">IF(91.77&lt;&gt;91.77,0,0)</f>
        <v>0</v>
      </c>
      <c r="I607" t="s">
        <v>14</v>
      </c>
      <c r="J607" t="s">
        <v>14</v>
      </c>
    </row>
    <row r="608" spans="1:10">
      <c r="A608" t="s">
        <v>866</v>
      </c>
      <c r="B608" t="s">
        <v>849</v>
      </c>
      <c r="C608" t="s">
        <v>592</v>
      </c>
      <c r="D608" s="1">
        <v>20.13</v>
      </c>
      <c r="E608" s="2">
        <v>4.55</v>
      </c>
      <c r="F608" s="2">
        <v>91.59</v>
      </c>
      <c r="G608" t="s">
        <v>850</v>
      </c>
      <c r="H608">
        <f ca="1">IF(91.59&lt;&gt;91.59,0,0)</f>
        <v>0</v>
      </c>
      <c r="I608" t="s">
        <v>14</v>
      </c>
      <c r="J608" t="s">
        <v>14</v>
      </c>
    </row>
    <row r="609" spans="1:10">
      <c r="A609" t="s">
        <v>867</v>
      </c>
      <c r="B609" t="s">
        <v>849</v>
      </c>
      <c r="C609" t="s">
        <v>868</v>
      </c>
      <c r="D609" s="1">
        <v>20.13</v>
      </c>
      <c r="E609" s="2">
        <v>5.7</v>
      </c>
      <c r="F609" s="2">
        <v>114.74</v>
      </c>
      <c r="G609" t="s">
        <v>850</v>
      </c>
      <c r="H609">
        <f ca="1">IF(114.74&lt;&gt;114.74,0,0)</f>
        <v>0</v>
      </c>
      <c r="I609" t="s">
        <v>14</v>
      </c>
      <c r="J609" t="s">
        <v>14</v>
      </c>
    </row>
    <row r="610" spans="1:10">
      <c r="A610" t="s">
        <v>869</v>
      </c>
      <c r="B610" t="s">
        <v>849</v>
      </c>
      <c r="C610" t="s">
        <v>870</v>
      </c>
      <c r="D610" s="1">
        <v>20.07</v>
      </c>
      <c r="E610" s="2">
        <v>5.15</v>
      </c>
      <c r="F610" s="2">
        <v>103.36</v>
      </c>
      <c r="G610" t="s">
        <v>850</v>
      </c>
      <c r="H610">
        <f ca="1">IF(103.36&lt;&gt;103.36,0,0)</f>
        <v>0</v>
      </c>
      <c r="I610" t="s">
        <v>14</v>
      </c>
      <c r="J610" t="s">
        <v>14</v>
      </c>
    </row>
    <row r="611" spans="1:10">
      <c r="A611" t="s">
        <v>871</v>
      </c>
      <c r="B611" t="s">
        <v>849</v>
      </c>
      <c r="C611" t="s">
        <v>668</v>
      </c>
      <c r="D611" s="1">
        <v>20.08</v>
      </c>
      <c r="E611" s="2">
        <v>4.3</v>
      </c>
      <c r="F611" s="2">
        <v>86.34</v>
      </c>
      <c r="G611" t="s">
        <v>850</v>
      </c>
      <c r="H611">
        <f ca="1">IF(86.34&lt;&gt;86.34,0,0)</f>
        <v>0</v>
      </c>
      <c r="I611" t="s">
        <v>14</v>
      </c>
      <c r="J611" t="s">
        <v>14</v>
      </c>
    </row>
    <row r="612" spans="1:10">
      <c r="A612" t="s">
        <v>872</v>
      </c>
      <c r="B612" t="s">
        <v>873</v>
      </c>
      <c r="C612" t="s">
        <v>307</v>
      </c>
      <c r="D612" s="1">
        <v>17.86</v>
      </c>
      <c r="E612" s="2">
        <v>3.5</v>
      </c>
      <c r="F612" s="2">
        <v>62.51</v>
      </c>
      <c r="G612" t="s">
        <v>874</v>
      </c>
      <c r="H612">
        <f ca="1">IF(62.51&lt;&gt;62.51,0,0)</f>
        <v>0</v>
      </c>
      <c r="I612" t="s">
        <v>14</v>
      </c>
      <c r="J612" t="s">
        <v>14</v>
      </c>
    </row>
    <row r="613" spans="1:10">
      <c r="A613" t="s">
        <v>875</v>
      </c>
      <c r="B613" t="s">
        <v>873</v>
      </c>
      <c r="C613" t="s">
        <v>302</v>
      </c>
      <c r="D613" s="1">
        <v>17.86</v>
      </c>
      <c r="E613" s="2">
        <v>4.2</v>
      </c>
      <c r="F613" s="2">
        <v>75.01</v>
      </c>
      <c r="G613" t="s">
        <v>874</v>
      </c>
      <c r="H613">
        <f ca="1">IF(75.01&lt;&gt;75.01,0,0)</f>
        <v>0</v>
      </c>
      <c r="I613" t="s">
        <v>14</v>
      </c>
      <c r="J613" t="s">
        <v>14</v>
      </c>
    </row>
    <row r="614" spans="1:10">
      <c r="A614" t="s">
        <v>876</v>
      </c>
      <c r="B614" t="s">
        <v>873</v>
      </c>
      <c r="C614" t="s">
        <v>313</v>
      </c>
      <c r="D614" s="1">
        <v>17.91</v>
      </c>
      <c r="E614" s="2">
        <v>4.2</v>
      </c>
      <c r="F614" s="2">
        <v>75.22</v>
      </c>
      <c r="G614" t="s">
        <v>874</v>
      </c>
      <c r="H614">
        <f ca="1">IF(75.22&lt;&gt;75.22,0,0)</f>
        <v>0</v>
      </c>
      <c r="I614" t="s">
        <v>14</v>
      </c>
      <c r="J614" t="s">
        <v>14</v>
      </c>
    </row>
    <row r="615" spans="1:10">
      <c r="A615" t="s">
        <v>877</v>
      </c>
      <c r="B615" t="s">
        <v>873</v>
      </c>
      <c r="C615" t="s">
        <v>348</v>
      </c>
      <c r="D615" s="1">
        <v>17.86</v>
      </c>
      <c r="E615" s="2">
        <v>5.95</v>
      </c>
      <c r="F615" s="2">
        <v>106.27</v>
      </c>
      <c r="G615" t="s">
        <v>874</v>
      </c>
      <c r="H615">
        <f ca="1">IF(106.27&lt;&gt;106.27,0,0)</f>
        <v>0</v>
      </c>
      <c r="I615" t="s">
        <v>14</v>
      </c>
      <c r="J615" t="s">
        <v>14</v>
      </c>
    </row>
    <row r="616" spans="1:10">
      <c r="A616" t="s">
        <v>878</v>
      </c>
      <c r="B616" t="s">
        <v>873</v>
      </c>
      <c r="C616" t="s">
        <v>307</v>
      </c>
      <c r="D616" s="1">
        <v>17.85</v>
      </c>
      <c r="E616" s="2">
        <v>3.5</v>
      </c>
      <c r="F616" s="2">
        <v>62.48</v>
      </c>
      <c r="G616" t="s">
        <v>874</v>
      </c>
      <c r="H616">
        <f ca="1">IF(62.48&lt;&gt;62.48,0,0)</f>
        <v>0</v>
      </c>
      <c r="I616" t="s">
        <v>14</v>
      </c>
      <c r="J616" t="s">
        <v>14</v>
      </c>
    </row>
    <row r="617" spans="1:10">
      <c r="A617" t="s">
        <v>879</v>
      </c>
      <c r="B617" t="s">
        <v>873</v>
      </c>
      <c r="C617" t="s">
        <v>305</v>
      </c>
      <c r="D617" s="1">
        <v>17.88</v>
      </c>
      <c r="E617" s="2">
        <v>5.45</v>
      </c>
      <c r="F617" s="2">
        <v>97.45</v>
      </c>
      <c r="G617" t="s">
        <v>874</v>
      </c>
      <c r="H617">
        <f ca="1">IF(97.45&lt;&gt;97.45,0,0)</f>
        <v>0</v>
      </c>
      <c r="I617" t="s">
        <v>14</v>
      </c>
      <c r="J617" t="s">
        <v>14</v>
      </c>
    </row>
    <row r="618" spans="1:10">
      <c r="A618" t="s">
        <v>880</v>
      </c>
      <c r="B618" t="s">
        <v>873</v>
      </c>
      <c r="C618" t="s">
        <v>305</v>
      </c>
      <c r="D618" s="1">
        <v>17.85</v>
      </c>
      <c r="E618" s="2">
        <v>5.45</v>
      </c>
      <c r="F618" s="2">
        <v>97.28</v>
      </c>
      <c r="G618" t="s">
        <v>874</v>
      </c>
      <c r="H618">
        <f ca="1">IF(97.28&lt;&gt;97.28,0,0)</f>
        <v>0</v>
      </c>
      <c r="I618" t="s">
        <v>14</v>
      </c>
      <c r="J618" t="s">
        <v>14</v>
      </c>
    </row>
    <row r="619" spans="1:10">
      <c r="A619" t="s">
        <v>881</v>
      </c>
      <c r="B619" t="s">
        <v>882</v>
      </c>
      <c r="C619" t="s">
        <v>579</v>
      </c>
      <c r="D619" s="1">
        <v>20.72</v>
      </c>
      <c r="E619" s="2">
        <v>9.5</v>
      </c>
      <c r="F619" s="2">
        <v>196.84</v>
      </c>
      <c r="G619" t="s">
        <v>883</v>
      </c>
      <c r="H619">
        <f ca="1">IF(196.84&lt;&gt;196.84,0,0)</f>
        <v>0</v>
      </c>
      <c r="I619" t="s">
        <v>14</v>
      </c>
      <c r="J619" t="s">
        <v>14</v>
      </c>
    </row>
    <row r="620" spans="1:10">
      <c r="A620" t="s">
        <v>884</v>
      </c>
      <c r="B620" t="s">
        <v>882</v>
      </c>
      <c r="C620" t="s">
        <v>885</v>
      </c>
      <c r="D620" s="1">
        <v>20.67</v>
      </c>
      <c r="E620" s="2">
        <v>5.95</v>
      </c>
      <c r="F620" s="2">
        <v>122.99</v>
      </c>
      <c r="G620" t="s">
        <v>883</v>
      </c>
      <c r="H620">
        <f ca="1">IF(122.99&lt;&gt;122.99,0,0)</f>
        <v>0</v>
      </c>
      <c r="I620" t="s">
        <v>14</v>
      </c>
      <c r="J620" t="s">
        <v>14</v>
      </c>
    </row>
    <row r="621" spans="1:10">
      <c r="A621" t="s">
        <v>886</v>
      </c>
      <c r="B621" t="s">
        <v>882</v>
      </c>
      <c r="C621" t="s">
        <v>71</v>
      </c>
      <c r="D621" s="1">
        <v>20.55</v>
      </c>
      <c r="E621" s="2">
        <v>5.95</v>
      </c>
      <c r="F621" s="2">
        <v>122.27</v>
      </c>
      <c r="G621" t="s">
        <v>883</v>
      </c>
      <c r="H621">
        <f ca="1">IF(122.27&lt;&gt;122.27,0,0)</f>
        <v>0</v>
      </c>
      <c r="I621" t="s">
        <v>14</v>
      </c>
      <c r="J621" t="s">
        <v>14</v>
      </c>
    </row>
    <row r="622" spans="1:10">
      <c r="A622" t="s">
        <v>887</v>
      </c>
      <c r="B622" t="s">
        <v>882</v>
      </c>
      <c r="C622" t="s">
        <v>144</v>
      </c>
      <c r="D622" s="1">
        <v>21.15</v>
      </c>
      <c r="E622" s="2">
        <v>6.4</v>
      </c>
      <c r="F622" s="2">
        <v>135.36</v>
      </c>
      <c r="G622" t="s">
        <v>883</v>
      </c>
      <c r="H622">
        <f ca="1">IF(135.36&lt;&gt;135.36,0,0)</f>
        <v>0</v>
      </c>
      <c r="I622" t="s">
        <v>14</v>
      </c>
      <c r="J622" t="s">
        <v>14</v>
      </c>
    </row>
    <row r="623" spans="1:10">
      <c r="A623" t="s">
        <v>888</v>
      </c>
      <c r="B623" t="s">
        <v>882</v>
      </c>
      <c r="C623" t="s">
        <v>799</v>
      </c>
      <c r="D623" s="1">
        <v>21.15</v>
      </c>
      <c r="E623" s="2">
        <v>3.7</v>
      </c>
      <c r="F623" s="2">
        <v>78.26</v>
      </c>
      <c r="G623" t="s">
        <v>883</v>
      </c>
      <c r="H623">
        <f ca="1">IF(78.26&lt;&gt;78.26,0,0)</f>
        <v>0</v>
      </c>
      <c r="I623" t="s">
        <v>14</v>
      </c>
      <c r="J623" t="s">
        <v>14</v>
      </c>
    </row>
    <row r="624" spans="1:10">
      <c r="A624" t="s">
        <v>889</v>
      </c>
      <c r="B624" t="s">
        <v>882</v>
      </c>
      <c r="C624" t="s">
        <v>122</v>
      </c>
      <c r="D624" s="1">
        <v>21.15</v>
      </c>
      <c r="E624" s="2">
        <v>4.95</v>
      </c>
      <c r="F624" s="2">
        <v>104.69</v>
      </c>
      <c r="G624" t="s">
        <v>883</v>
      </c>
      <c r="H624">
        <f ca="1">IF(104.69&lt;&gt;104.69,0,0)</f>
        <v>0</v>
      </c>
      <c r="I624" t="s">
        <v>14</v>
      </c>
      <c r="J624" t="s">
        <v>14</v>
      </c>
    </row>
    <row r="625" spans="1:10">
      <c r="A625" t="s">
        <v>890</v>
      </c>
      <c r="B625" t="s">
        <v>882</v>
      </c>
      <c r="C625" t="s">
        <v>891</v>
      </c>
      <c r="D625" s="1">
        <v>21.1</v>
      </c>
      <c r="E625" s="2">
        <v>5.45</v>
      </c>
      <c r="F625" s="2">
        <v>115</v>
      </c>
      <c r="G625" t="s">
        <v>883</v>
      </c>
      <c r="H625">
        <f ca="1">IF(115&lt;&gt;115,0,0)</f>
        <v>0</v>
      </c>
      <c r="I625" t="s">
        <v>14</v>
      </c>
      <c r="J625" t="s">
        <v>14</v>
      </c>
    </row>
    <row r="626" spans="1:10">
      <c r="A626" t="s">
        <v>892</v>
      </c>
      <c r="B626" t="s">
        <v>882</v>
      </c>
      <c r="C626" t="s">
        <v>893</v>
      </c>
      <c r="D626" s="1">
        <v>21.13</v>
      </c>
      <c r="E626" s="2">
        <v>4.4</v>
      </c>
      <c r="F626" s="2">
        <v>92.97</v>
      </c>
      <c r="G626" t="s">
        <v>883</v>
      </c>
      <c r="H626">
        <f ca="1">IF(92.97&lt;&gt;92.97,0,0)</f>
        <v>0</v>
      </c>
      <c r="I626" t="s">
        <v>14</v>
      </c>
      <c r="J626" t="s">
        <v>14</v>
      </c>
    </row>
    <row r="627" spans="1:10">
      <c r="A627" t="s">
        <v>894</v>
      </c>
      <c r="B627" t="s">
        <v>882</v>
      </c>
      <c r="C627" t="s">
        <v>668</v>
      </c>
      <c r="D627" s="1">
        <v>21.14</v>
      </c>
      <c r="E627" s="2">
        <v>4.3</v>
      </c>
      <c r="F627" s="2">
        <v>90.9</v>
      </c>
      <c r="G627" t="s">
        <v>883</v>
      </c>
      <c r="H627">
        <f ca="1">IF(90.9&lt;&gt;90.9,0,0)</f>
        <v>0</v>
      </c>
      <c r="I627" t="s">
        <v>14</v>
      </c>
      <c r="J627" t="s">
        <v>14</v>
      </c>
    </row>
    <row r="628" spans="1:10">
      <c r="A628" t="s">
        <v>895</v>
      </c>
      <c r="B628" t="s">
        <v>882</v>
      </c>
      <c r="C628" t="s">
        <v>896</v>
      </c>
      <c r="D628" s="1">
        <v>21.07</v>
      </c>
      <c r="E628" s="2">
        <v>5.7</v>
      </c>
      <c r="F628" s="2">
        <v>120.1</v>
      </c>
      <c r="G628" t="s">
        <v>883</v>
      </c>
      <c r="H628">
        <f ca="1">IF(120.1&lt;&gt;120.1,0,0)</f>
        <v>0</v>
      </c>
      <c r="I628" t="s">
        <v>14</v>
      </c>
      <c r="J628" t="s">
        <v>14</v>
      </c>
    </row>
    <row r="629" spans="1:10">
      <c r="A629" t="s">
        <v>897</v>
      </c>
      <c r="B629" t="s">
        <v>882</v>
      </c>
      <c r="C629" t="s">
        <v>170</v>
      </c>
      <c r="D629" s="1">
        <v>21.17</v>
      </c>
      <c r="E629" s="2">
        <v>5.95</v>
      </c>
      <c r="F629" s="2">
        <v>125.96</v>
      </c>
      <c r="G629" t="s">
        <v>883</v>
      </c>
      <c r="H629">
        <f ca="1">IF(125.96&lt;&gt;125.96,0,0)</f>
        <v>0</v>
      </c>
      <c r="I629" t="s">
        <v>14</v>
      </c>
      <c r="J629" t="s">
        <v>14</v>
      </c>
    </row>
    <row r="630" spans="1:10">
      <c r="A630" t="s">
        <v>898</v>
      </c>
      <c r="B630" t="s">
        <v>899</v>
      </c>
      <c r="C630" t="s">
        <v>204</v>
      </c>
      <c r="D630" s="1">
        <v>20.6</v>
      </c>
      <c r="E630" s="2">
        <v>4.4</v>
      </c>
      <c r="F630" s="2">
        <v>90.64</v>
      </c>
      <c r="G630" t="s">
        <v>900</v>
      </c>
      <c r="H630">
        <f ca="1">IF(90.64&lt;&gt;90.64,0,0)</f>
        <v>0</v>
      </c>
      <c r="I630" t="s">
        <v>14</v>
      </c>
      <c r="J630" t="s">
        <v>14</v>
      </c>
    </row>
    <row r="631" spans="1:10">
      <c r="A631" t="s">
        <v>901</v>
      </c>
      <c r="B631" t="s">
        <v>899</v>
      </c>
      <c r="C631" t="s">
        <v>229</v>
      </c>
      <c r="D631" s="1">
        <v>20.68</v>
      </c>
      <c r="E631" s="2">
        <v>4.55</v>
      </c>
      <c r="F631" s="2">
        <v>94.09</v>
      </c>
      <c r="G631" t="s">
        <v>900</v>
      </c>
      <c r="H631">
        <f ca="1">IF(94.09&lt;&gt;94.09,0,0)</f>
        <v>0</v>
      </c>
      <c r="I631" t="s">
        <v>14</v>
      </c>
      <c r="J631" t="s">
        <v>14</v>
      </c>
    </row>
    <row r="632" spans="1:10">
      <c r="A632" t="s">
        <v>902</v>
      </c>
      <c r="B632" t="s">
        <v>899</v>
      </c>
      <c r="C632" t="s">
        <v>217</v>
      </c>
      <c r="D632" s="1">
        <v>20.66</v>
      </c>
      <c r="E632" s="2">
        <v>6.4</v>
      </c>
      <c r="F632" s="2">
        <v>132.22</v>
      </c>
      <c r="G632" t="s">
        <v>900</v>
      </c>
      <c r="H632">
        <f ca="1">IF(132.22&lt;&gt;132.22,0,0)</f>
        <v>0</v>
      </c>
      <c r="I632" t="s">
        <v>14</v>
      </c>
      <c r="J632" t="s">
        <v>14</v>
      </c>
    </row>
    <row r="633" spans="1:10">
      <c r="A633" t="s">
        <v>903</v>
      </c>
      <c r="B633" t="s">
        <v>899</v>
      </c>
      <c r="C633" t="s">
        <v>233</v>
      </c>
      <c r="D633" s="1">
        <v>20.66</v>
      </c>
      <c r="E633" s="2">
        <v>3.35</v>
      </c>
      <c r="F633" s="2">
        <v>69.21</v>
      </c>
      <c r="G633" t="s">
        <v>900</v>
      </c>
      <c r="H633">
        <f ca="1">IF(69.21&lt;&gt;69.21,0,0)</f>
        <v>0</v>
      </c>
      <c r="I633" t="s">
        <v>14</v>
      </c>
      <c r="J633" t="s">
        <v>14</v>
      </c>
    </row>
    <row r="634" spans="1:10">
      <c r="A634" t="s">
        <v>904</v>
      </c>
      <c r="B634" t="s">
        <v>899</v>
      </c>
      <c r="C634" t="s">
        <v>398</v>
      </c>
      <c r="D634" s="1">
        <v>20.61</v>
      </c>
      <c r="E634" s="2">
        <v>6.2</v>
      </c>
      <c r="F634" s="2">
        <v>127.78</v>
      </c>
      <c r="G634" t="s">
        <v>900</v>
      </c>
      <c r="H634">
        <f ca="1">IF(127.78&lt;&gt;127.78,0,0)</f>
        <v>0</v>
      </c>
      <c r="I634" t="s">
        <v>14</v>
      </c>
      <c r="J634" t="s">
        <v>14</v>
      </c>
    </row>
    <row r="635" spans="1:10">
      <c r="A635" t="s">
        <v>905</v>
      </c>
      <c r="B635" t="s">
        <v>899</v>
      </c>
      <c r="C635" t="s">
        <v>384</v>
      </c>
      <c r="D635" s="1">
        <v>20.61</v>
      </c>
      <c r="E635" s="2">
        <v>5.45</v>
      </c>
      <c r="F635" s="2">
        <v>112.32</v>
      </c>
      <c r="G635" t="s">
        <v>900</v>
      </c>
      <c r="H635">
        <f ca="1">IF(112.32&lt;&gt;112.32,0,0)</f>
        <v>0</v>
      </c>
      <c r="I635" t="s">
        <v>14</v>
      </c>
      <c r="J635" t="s">
        <v>14</v>
      </c>
    </row>
    <row r="636" spans="1:10">
      <c r="A636" t="s">
        <v>906</v>
      </c>
      <c r="B636" t="s">
        <v>899</v>
      </c>
      <c r="C636" t="s">
        <v>907</v>
      </c>
      <c r="D636" s="1">
        <v>20.65</v>
      </c>
      <c r="E636" s="2">
        <v>5.7</v>
      </c>
      <c r="F636" s="2">
        <v>117.71</v>
      </c>
      <c r="G636" t="s">
        <v>900</v>
      </c>
      <c r="H636">
        <f ca="1">IF(117.71&lt;&gt;117.7,0.009999999999990905,0)</f>
        <v>0</v>
      </c>
      <c r="I636" t="s">
        <v>14</v>
      </c>
      <c r="J636" t="s">
        <v>14</v>
      </c>
    </row>
    <row r="637" spans="1:10">
      <c r="A637" t="s">
        <v>908</v>
      </c>
      <c r="B637" t="s">
        <v>899</v>
      </c>
      <c r="C637" t="s">
        <v>384</v>
      </c>
      <c r="D637" s="1">
        <v>20.61</v>
      </c>
      <c r="E637" s="2">
        <v>5.45</v>
      </c>
      <c r="F637" s="2">
        <v>112.32</v>
      </c>
      <c r="G637" t="s">
        <v>900</v>
      </c>
      <c r="H637">
        <f ca="1">IF(112.32&lt;&gt;112.32,0,0)</f>
        <v>0</v>
      </c>
      <c r="I637" t="s">
        <v>14</v>
      </c>
      <c r="J637" t="s">
        <v>14</v>
      </c>
    </row>
    <row r="638" spans="1:10">
      <c r="A638" t="s">
        <v>909</v>
      </c>
      <c r="B638" t="s">
        <v>899</v>
      </c>
      <c r="C638" t="s">
        <v>217</v>
      </c>
      <c r="D638" s="1">
        <v>20.72</v>
      </c>
      <c r="E638" s="2">
        <v>6.4</v>
      </c>
      <c r="F638" s="2">
        <v>132.61</v>
      </c>
      <c r="G638" t="s">
        <v>900</v>
      </c>
      <c r="H638">
        <f ca="1">IF(132.61&lt;&gt;132.61,0,0)</f>
        <v>0</v>
      </c>
      <c r="I638" t="s">
        <v>14</v>
      </c>
      <c r="J638" t="s">
        <v>14</v>
      </c>
    </row>
    <row r="639" spans="1:10">
      <c r="A639" t="s">
        <v>910</v>
      </c>
      <c r="B639" t="s">
        <v>899</v>
      </c>
      <c r="C639" t="s">
        <v>221</v>
      </c>
      <c r="D639" s="1">
        <v>20.67</v>
      </c>
      <c r="E639" s="2">
        <v>4.4</v>
      </c>
      <c r="F639" s="2">
        <v>90.95</v>
      </c>
      <c r="G639" t="s">
        <v>900</v>
      </c>
      <c r="H639">
        <f ca="1">IF(90.95&lt;&gt;90.95,0,0)</f>
        <v>0</v>
      </c>
      <c r="I639" t="s">
        <v>14</v>
      </c>
      <c r="J639" t="s">
        <v>14</v>
      </c>
    </row>
    <row r="640" spans="1:10">
      <c r="A640" t="s">
        <v>911</v>
      </c>
      <c r="B640" t="s">
        <v>899</v>
      </c>
      <c r="C640" t="s">
        <v>384</v>
      </c>
      <c r="D640" s="1">
        <v>20.67</v>
      </c>
      <c r="E640" s="2">
        <v>5.45</v>
      </c>
      <c r="F640" s="2">
        <v>112.65</v>
      </c>
      <c r="G640" t="s">
        <v>900</v>
      </c>
      <c r="H640">
        <f ca="1">IF(112.65&lt;&gt;112.65,0,0)</f>
        <v>0</v>
      </c>
      <c r="I640" t="s">
        <v>14</v>
      </c>
      <c r="J640" t="s">
        <v>14</v>
      </c>
    </row>
    <row r="641" spans="1:10">
      <c r="A641" t="s">
        <v>912</v>
      </c>
      <c r="B641" t="s">
        <v>899</v>
      </c>
      <c r="C641" t="s">
        <v>913</v>
      </c>
      <c r="D641" s="1">
        <v>20.7</v>
      </c>
      <c r="E641" s="2">
        <v>5.95</v>
      </c>
      <c r="F641" s="2">
        <v>123.17</v>
      </c>
      <c r="G641" t="s">
        <v>900</v>
      </c>
      <c r="H641">
        <f ca="1">IF(123.17&lt;&gt;123.16,0.010000000000005116,0)</f>
        <v>0</v>
      </c>
      <c r="I641" t="s">
        <v>14</v>
      </c>
      <c r="J641" t="s">
        <v>14</v>
      </c>
    </row>
    <row r="642" spans="1:10">
      <c r="A642" t="s">
        <v>914</v>
      </c>
      <c r="B642" t="s">
        <v>899</v>
      </c>
      <c r="C642" t="s">
        <v>384</v>
      </c>
      <c r="D642" s="1">
        <v>20.66</v>
      </c>
      <c r="E642" s="2">
        <v>5.45</v>
      </c>
      <c r="F642" s="2">
        <v>112.6</v>
      </c>
      <c r="G642" t="s">
        <v>900</v>
      </c>
      <c r="H642">
        <f ca="1">IF(112.6&lt;&gt;112.6,0,0)</f>
        <v>0</v>
      </c>
      <c r="I642" t="s">
        <v>14</v>
      </c>
      <c r="J642" t="s">
        <v>14</v>
      </c>
    </row>
    <row r="643" spans="1:10">
      <c r="A643" t="s">
        <v>915</v>
      </c>
      <c r="B643" t="s">
        <v>899</v>
      </c>
      <c r="C643" t="s">
        <v>207</v>
      </c>
      <c r="D643" s="1">
        <v>20.62</v>
      </c>
      <c r="E643" s="2">
        <v>4.4</v>
      </c>
      <c r="F643" s="2">
        <v>90.73</v>
      </c>
      <c r="G643" t="s">
        <v>900</v>
      </c>
      <c r="H643">
        <f ca="1">IF(90.73&lt;&gt;90.73,0,0)</f>
        <v>0</v>
      </c>
      <c r="I643" t="s">
        <v>14</v>
      </c>
      <c r="J643" t="s">
        <v>14</v>
      </c>
    </row>
    <row r="644" spans="1:10">
      <c r="A644" t="s">
        <v>916</v>
      </c>
      <c r="B644" t="s">
        <v>899</v>
      </c>
      <c r="C644" t="s">
        <v>235</v>
      </c>
      <c r="D644" s="1">
        <v>20.69</v>
      </c>
      <c r="E644" s="2">
        <v>6.2</v>
      </c>
      <c r="F644" s="2">
        <v>128.28</v>
      </c>
      <c r="G644" t="s">
        <v>900</v>
      </c>
      <c r="H644">
        <f ca="1">IF(128.28&lt;&gt;128.28,0,0)</f>
        <v>0</v>
      </c>
      <c r="I644" t="s">
        <v>14</v>
      </c>
      <c r="J644" t="s">
        <v>14</v>
      </c>
    </row>
    <row r="645" spans="1:10">
      <c r="A645" t="s">
        <v>917</v>
      </c>
      <c r="B645" t="s">
        <v>899</v>
      </c>
      <c r="C645" t="s">
        <v>233</v>
      </c>
      <c r="D645" s="1">
        <v>20.67</v>
      </c>
      <c r="E645" s="2">
        <v>3.35</v>
      </c>
      <c r="F645" s="2">
        <v>69.24</v>
      </c>
      <c r="G645" t="s">
        <v>900</v>
      </c>
      <c r="H645">
        <f ca="1">IF(69.24&lt;&gt;69.24,0,0)</f>
        <v>0</v>
      </c>
      <c r="I645" t="s">
        <v>14</v>
      </c>
      <c r="J645" t="s">
        <v>14</v>
      </c>
    </row>
    <row r="646" spans="1:10">
      <c r="A646" t="s">
        <v>918</v>
      </c>
      <c r="B646" t="s">
        <v>899</v>
      </c>
      <c r="C646" t="s">
        <v>919</v>
      </c>
      <c r="D646" s="1">
        <v>20.65</v>
      </c>
      <c r="E646" s="2">
        <v>5.7</v>
      </c>
      <c r="F646" s="2">
        <v>117.71</v>
      </c>
      <c r="G646" t="s">
        <v>900</v>
      </c>
      <c r="H646">
        <f ca="1">IF(117.71&lt;&gt;117.7,0.009999999999990905,0)</f>
        <v>0</v>
      </c>
      <c r="I646" t="s">
        <v>14</v>
      </c>
      <c r="J646" t="s">
        <v>14</v>
      </c>
    </row>
    <row r="647" spans="1:10">
      <c r="A647" t="s">
        <v>920</v>
      </c>
      <c r="B647" t="s">
        <v>899</v>
      </c>
      <c r="C647" t="s">
        <v>384</v>
      </c>
      <c r="D647" s="1">
        <v>20.62</v>
      </c>
      <c r="E647" s="2">
        <v>5.45</v>
      </c>
      <c r="F647" s="2">
        <v>112.38</v>
      </c>
      <c r="G647" t="s">
        <v>900</v>
      </c>
      <c r="H647">
        <f ca="1">IF(112.38&lt;&gt;112.38,0,0)</f>
        <v>0</v>
      </c>
      <c r="I647" t="s">
        <v>14</v>
      </c>
      <c r="J647" t="s">
        <v>14</v>
      </c>
    </row>
    <row r="648" spans="1:10">
      <c r="A648" t="s">
        <v>921</v>
      </c>
      <c r="B648" t="s">
        <v>899</v>
      </c>
      <c r="C648" t="s">
        <v>226</v>
      </c>
      <c r="D648" s="1">
        <v>20.39</v>
      </c>
      <c r="E648" s="2">
        <v>5.7</v>
      </c>
      <c r="F648" s="2">
        <v>116.22</v>
      </c>
      <c r="G648" t="s">
        <v>900</v>
      </c>
      <c r="H648">
        <f ca="1">IF(116.22&lt;&gt;116.22,0,0)</f>
        <v>0</v>
      </c>
      <c r="I648" t="s">
        <v>14</v>
      </c>
      <c r="J648" t="s">
        <v>14</v>
      </c>
    </row>
    <row r="649" spans="1:10">
      <c r="A649" t="s">
        <v>922</v>
      </c>
      <c r="B649" t="s">
        <v>899</v>
      </c>
      <c r="C649" t="s">
        <v>384</v>
      </c>
      <c r="D649" s="1">
        <v>20.39</v>
      </c>
      <c r="E649" s="2">
        <v>5.45</v>
      </c>
      <c r="F649" s="2">
        <v>111.13</v>
      </c>
      <c r="G649" t="s">
        <v>900</v>
      </c>
      <c r="H649">
        <f ca="1">IF(111.13&lt;&gt;111.13,0,0)</f>
        <v>0</v>
      </c>
      <c r="I649" t="s">
        <v>14</v>
      </c>
      <c r="J649" t="s">
        <v>14</v>
      </c>
    </row>
    <row r="650" spans="1:10">
      <c r="A650" t="s">
        <v>923</v>
      </c>
      <c r="B650" t="s">
        <v>899</v>
      </c>
      <c r="C650" t="s">
        <v>226</v>
      </c>
      <c r="D650" s="1">
        <v>20.39</v>
      </c>
      <c r="E650" s="2">
        <v>5.7</v>
      </c>
      <c r="F650" s="2">
        <v>116.22</v>
      </c>
      <c r="G650" t="s">
        <v>900</v>
      </c>
      <c r="H650">
        <f ca="1">IF(116.22&lt;&gt;116.22,0,0)</f>
        <v>0</v>
      </c>
      <c r="I650" t="s">
        <v>14</v>
      </c>
      <c r="J650" t="s">
        <v>14</v>
      </c>
    </row>
    <row r="651" spans="1:10">
      <c r="A651" t="s">
        <v>924</v>
      </c>
      <c r="B651" t="s">
        <v>899</v>
      </c>
      <c r="C651" t="s">
        <v>248</v>
      </c>
      <c r="D651" s="1">
        <v>20.4</v>
      </c>
      <c r="E651" s="2">
        <v>5.95</v>
      </c>
      <c r="F651" s="2">
        <v>121.38</v>
      </c>
      <c r="G651" t="s">
        <v>900</v>
      </c>
      <c r="H651">
        <f ca="1">IF(121.38&lt;&gt;121.38,0,0)</f>
        <v>0</v>
      </c>
      <c r="I651" t="s">
        <v>14</v>
      </c>
      <c r="J651" t="s">
        <v>14</v>
      </c>
    </row>
    <row r="652" spans="1:10">
      <c r="A652" t="s">
        <v>925</v>
      </c>
      <c r="B652" t="s">
        <v>899</v>
      </c>
      <c r="C652" t="s">
        <v>219</v>
      </c>
      <c r="D652" s="1">
        <v>20.39</v>
      </c>
      <c r="E652" s="2">
        <v>3.35</v>
      </c>
      <c r="F652" s="2">
        <v>68.31</v>
      </c>
      <c r="G652" t="s">
        <v>900</v>
      </c>
      <c r="H652">
        <f ca="1">IF(68.31&lt;&gt;68.31,0,0)</f>
        <v>0</v>
      </c>
      <c r="I652" t="s">
        <v>14</v>
      </c>
      <c r="J652" t="s">
        <v>14</v>
      </c>
    </row>
    <row r="653" spans="1:10">
      <c r="A653" t="s">
        <v>926</v>
      </c>
      <c r="B653" t="s">
        <v>899</v>
      </c>
      <c r="C653" t="s">
        <v>226</v>
      </c>
      <c r="D653" s="1">
        <v>20.39</v>
      </c>
      <c r="E653" s="2">
        <v>5.7</v>
      </c>
      <c r="F653" s="2">
        <v>116.22</v>
      </c>
      <c r="G653" t="s">
        <v>900</v>
      </c>
      <c r="H653">
        <f ca="1">IF(116.22&lt;&gt;116.22,0,0)</f>
        <v>0</v>
      </c>
      <c r="I653" t="s">
        <v>14</v>
      </c>
      <c r="J653" t="s">
        <v>14</v>
      </c>
    </row>
    <row r="654" spans="1:10">
      <c r="A654" t="s">
        <v>927</v>
      </c>
      <c r="B654" t="s">
        <v>899</v>
      </c>
      <c r="C654" t="s">
        <v>515</v>
      </c>
      <c r="D654" s="1">
        <v>20.36</v>
      </c>
      <c r="E654" s="2">
        <v>6.2</v>
      </c>
      <c r="F654" s="2">
        <v>126.23</v>
      </c>
      <c r="G654" t="s">
        <v>900</v>
      </c>
      <c r="H654">
        <f ca="1">IF(126.23&lt;&gt;126.23,0,0)</f>
        <v>0</v>
      </c>
      <c r="I654" t="s">
        <v>14</v>
      </c>
      <c r="J654" t="s">
        <v>14</v>
      </c>
    </row>
    <row r="655" spans="1:10">
      <c r="A655" t="s">
        <v>928</v>
      </c>
      <c r="B655" t="s">
        <v>899</v>
      </c>
      <c r="C655" t="s">
        <v>217</v>
      </c>
      <c r="D655" s="1">
        <v>20.4</v>
      </c>
      <c r="E655" s="2">
        <v>6.4</v>
      </c>
      <c r="F655" s="2">
        <v>130.56</v>
      </c>
      <c r="G655" t="s">
        <v>900</v>
      </c>
      <c r="H655">
        <f ca="1">IF(130.56&lt;&gt;130.56,0,0)</f>
        <v>0</v>
      </c>
      <c r="I655" t="s">
        <v>14</v>
      </c>
      <c r="J655" t="s">
        <v>14</v>
      </c>
    </row>
    <row r="656" spans="1:10">
      <c r="A656" t="s">
        <v>929</v>
      </c>
      <c r="B656" t="s">
        <v>899</v>
      </c>
      <c r="C656" t="s">
        <v>224</v>
      </c>
      <c r="D656" s="1">
        <v>20.4</v>
      </c>
      <c r="E656" s="2">
        <v>4.55</v>
      </c>
      <c r="F656" s="2">
        <v>92.82</v>
      </c>
      <c r="G656" t="s">
        <v>900</v>
      </c>
      <c r="H656">
        <f ca="1">IF(92.82&lt;&gt;92.82,0,0)</f>
        <v>0</v>
      </c>
      <c r="I656" t="s">
        <v>14</v>
      </c>
      <c r="J656" t="s">
        <v>14</v>
      </c>
    </row>
    <row r="657" spans="1:10">
      <c r="A657" t="s">
        <v>930</v>
      </c>
      <c r="B657" t="s">
        <v>899</v>
      </c>
      <c r="C657" t="s">
        <v>288</v>
      </c>
      <c r="D657" s="1">
        <v>20.38</v>
      </c>
      <c r="E657" s="2">
        <v>6.2</v>
      </c>
      <c r="F657" s="2">
        <v>126.36</v>
      </c>
      <c r="G657" t="s">
        <v>900</v>
      </c>
      <c r="H657">
        <f ca="1">IF(126.36&lt;&gt;126.36,0,0)</f>
        <v>0</v>
      </c>
      <c r="I657" t="s">
        <v>14</v>
      </c>
      <c r="J657" t="s">
        <v>14</v>
      </c>
    </row>
    <row r="658" spans="1:10">
      <c r="A658" t="s">
        <v>931</v>
      </c>
      <c r="B658" t="s">
        <v>899</v>
      </c>
      <c r="C658" t="s">
        <v>235</v>
      </c>
      <c r="D658" s="1">
        <v>20.44</v>
      </c>
      <c r="E658" s="2">
        <v>6.2</v>
      </c>
      <c r="F658" s="2">
        <v>126.73</v>
      </c>
      <c r="G658" t="s">
        <v>900</v>
      </c>
      <c r="H658">
        <f ca="1">IF(126.73&lt;&gt;126.73,0,0)</f>
        <v>0</v>
      </c>
      <c r="I658" t="s">
        <v>14</v>
      </c>
      <c r="J658" t="s">
        <v>14</v>
      </c>
    </row>
    <row r="659" spans="1:10">
      <c r="A659" t="s">
        <v>932</v>
      </c>
      <c r="B659" t="s">
        <v>899</v>
      </c>
      <c r="C659" t="s">
        <v>224</v>
      </c>
      <c r="D659" s="1">
        <v>20.36</v>
      </c>
      <c r="E659" s="2">
        <v>4.55</v>
      </c>
      <c r="F659" s="2">
        <v>92.64</v>
      </c>
      <c r="G659" t="s">
        <v>900</v>
      </c>
      <c r="H659">
        <f ca="1">IF(92.64&lt;&gt;92.64,0,0)</f>
        <v>0</v>
      </c>
      <c r="I659" t="s">
        <v>14</v>
      </c>
      <c r="J659" t="s">
        <v>14</v>
      </c>
    </row>
    <row r="660" spans="1:10">
      <c r="A660" t="s">
        <v>933</v>
      </c>
      <c r="B660" t="s">
        <v>899</v>
      </c>
      <c r="C660" t="s">
        <v>264</v>
      </c>
      <c r="D660" s="1">
        <v>20.38</v>
      </c>
      <c r="E660" s="2">
        <v>5.45</v>
      </c>
      <c r="F660" s="2">
        <v>111.07</v>
      </c>
      <c r="G660" t="s">
        <v>900</v>
      </c>
      <c r="H660">
        <f ca="1">IF(111.07&lt;&gt;111.07,0,0)</f>
        <v>0</v>
      </c>
      <c r="I660" t="s">
        <v>14</v>
      </c>
      <c r="J660" t="s">
        <v>14</v>
      </c>
    </row>
    <row r="661" spans="1:10">
      <c r="A661" t="s">
        <v>934</v>
      </c>
      <c r="B661" t="s">
        <v>899</v>
      </c>
      <c r="C661" t="s">
        <v>215</v>
      </c>
      <c r="D661" s="1">
        <v>20.39</v>
      </c>
      <c r="E661" s="2">
        <v>6.2</v>
      </c>
      <c r="F661" s="2">
        <v>126.42</v>
      </c>
      <c r="G661" t="s">
        <v>900</v>
      </c>
      <c r="H661">
        <f ca="1">IF(126.42&lt;&gt;126.42,0,0)</f>
        <v>0</v>
      </c>
      <c r="I661" t="s">
        <v>14</v>
      </c>
      <c r="J661" t="s">
        <v>14</v>
      </c>
    </row>
    <row r="662" spans="1:10">
      <c r="A662" t="s">
        <v>935</v>
      </c>
      <c r="B662" t="s">
        <v>899</v>
      </c>
      <c r="C662" t="s">
        <v>384</v>
      </c>
      <c r="D662" s="1">
        <v>20.42</v>
      </c>
      <c r="E662" s="2">
        <v>5.45</v>
      </c>
      <c r="F662" s="2">
        <v>111.29</v>
      </c>
      <c r="G662" t="s">
        <v>900</v>
      </c>
      <c r="H662">
        <f ca="1">IF(111.29&lt;&gt;111.29,0,0)</f>
        <v>0</v>
      </c>
      <c r="I662" t="s">
        <v>14</v>
      </c>
      <c r="J662" t="s">
        <v>14</v>
      </c>
    </row>
    <row r="663" spans="1:10">
      <c r="A663" t="s">
        <v>936</v>
      </c>
      <c r="B663" t="s">
        <v>899</v>
      </c>
      <c r="C663" t="s">
        <v>224</v>
      </c>
      <c r="D663" s="1">
        <v>20.37</v>
      </c>
      <c r="E663" s="2">
        <v>4.55</v>
      </c>
      <c r="F663" s="2">
        <v>92.68</v>
      </c>
      <c r="G663" t="s">
        <v>900</v>
      </c>
      <c r="H663">
        <f ca="1">IF(92.68&lt;&gt;92.68,0,0)</f>
        <v>0</v>
      </c>
      <c r="I663" t="s">
        <v>14</v>
      </c>
      <c r="J663" t="s">
        <v>14</v>
      </c>
    </row>
    <row r="664" spans="1:10">
      <c r="A664" t="s">
        <v>937</v>
      </c>
      <c r="B664" t="s">
        <v>899</v>
      </c>
      <c r="C664" t="s">
        <v>235</v>
      </c>
      <c r="D664" s="1">
        <v>20.35</v>
      </c>
      <c r="E664" s="2">
        <v>6.2</v>
      </c>
      <c r="F664" s="2">
        <v>126.17</v>
      </c>
      <c r="G664" t="s">
        <v>900</v>
      </c>
      <c r="H664">
        <f ca="1">IF(126.17&lt;&gt;126.17,0,0)</f>
        <v>0</v>
      </c>
      <c r="I664" t="s">
        <v>14</v>
      </c>
      <c r="J664" t="s">
        <v>14</v>
      </c>
    </row>
    <row r="665" spans="1:10">
      <c r="A665" t="s">
        <v>938</v>
      </c>
      <c r="B665" t="s">
        <v>939</v>
      </c>
      <c r="C665" t="s">
        <v>592</v>
      </c>
      <c r="D665" s="1">
        <v>20.67</v>
      </c>
      <c r="E665" s="2">
        <v>4.55</v>
      </c>
      <c r="F665" s="2">
        <v>94.05</v>
      </c>
      <c r="G665" t="s">
        <v>940</v>
      </c>
      <c r="H665">
        <f ca="1">IF(94.05&lt;&gt;94.05,0,0)</f>
        <v>0</v>
      </c>
      <c r="I665" t="s">
        <v>14</v>
      </c>
      <c r="J665" t="s">
        <v>14</v>
      </c>
    </row>
    <row r="666" spans="1:10">
      <c r="A666" t="s">
        <v>941</v>
      </c>
      <c r="B666" t="s">
        <v>939</v>
      </c>
      <c r="C666" t="s">
        <v>583</v>
      </c>
      <c r="D666" s="1">
        <v>20.54</v>
      </c>
      <c r="E666" s="2">
        <v>4.2</v>
      </c>
      <c r="F666" s="2">
        <v>86.27</v>
      </c>
      <c r="G666" t="s">
        <v>940</v>
      </c>
      <c r="H666">
        <f ca="1">IF(86.27&lt;&gt;86.27,0,0)</f>
        <v>0</v>
      </c>
      <c r="I666" t="s">
        <v>14</v>
      </c>
      <c r="J666" t="s">
        <v>14</v>
      </c>
    </row>
    <row r="667" spans="1:10">
      <c r="A667" t="s">
        <v>942</v>
      </c>
      <c r="B667" t="s">
        <v>939</v>
      </c>
      <c r="C667" t="s">
        <v>722</v>
      </c>
      <c r="D667" s="1">
        <v>20.57</v>
      </c>
      <c r="E667" s="2">
        <v>5.95</v>
      </c>
      <c r="F667" s="2">
        <v>122.39</v>
      </c>
      <c r="G667" t="s">
        <v>940</v>
      </c>
      <c r="H667">
        <f ca="1">IF(122.39&lt;&gt;122.39,0,0)</f>
        <v>0</v>
      </c>
      <c r="I667" t="s">
        <v>14</v>
      </c>
      <c r="J667" t="s">
        <v>14</v>
      </c>
    </row>
    <row r="668" spans="1:10">
      <c r="A668" t="s">
        <v>943</v>
      </c>
      <c r="B668" t="s">
        <v>939</v>
      </c>
      <c r="C668" t="s">
        <v>944</v>
      </c>
      <c r="D668" s="1">
        <v>20.69</v>
      </c>
      <c r="E668" s="2">
        <v>5.7</v>
      </c>
      <c r="F668" s="2">
        <v>117.93</v>
      </c>
      <c r="G668" t="s">
        <v>940</v>
      </c>
      <c r="H668">
        <f ca="1">IF(117.93&lt;&gt;117.93,0,0)</f>
        <v>0</v>
      </c>
      <c r="I668" t="s">
        <v>14</v>
      </c>
      <c r="J668" t="s">
        <v>14</v>
      </c>
    </row>
    <row r="669" spans="1:10">
      <c r="A669" t="s">
        <v>945</v>
      </c>
      <c r="B669" t="s">
        <v>939</v>
      </c>
      <c r="C669" t="s">
        <v>576</v>
      </c>
      <c r="D669" s="1">
        <v>20.59</v>
      </c>
      <c r="E669" s="2">
        <v>3.7</v>
      </c>
      <c r="F669" s="2">
        <v>76.18</v>
      </c>
      <c r="G669" t="s">
        <v>940</v>
      </c>
      <c r="H669">
        <f ca="1">IF(76.18&lt;&gt;76.18,0,0)</f>
        <v>0</v>
      </c>
      <c r="I669" t="s">
        <v>14</v>
      </c>
      <c r="J669" t="s">
        <v>14</v>
      </c>
    </row>
    <row r="670" spans="1:10">
      <c r="A670" t="s">
        <v>946</v>
      </c>
      <c r="B670" t="s">
        <v>939</v>
      </c>
      <c r="C670" t="s">
        <v>581</v>
      </c>
      <c r="D670" s="1">
        <v>20.7</v>
      </c>
      <c r="E670" s="2">
        <v>5.15</v>
      </c>
      <c r="F670" s="2">
        <v>106.61</v>
      </c>
      <c r="G670" t="s">
        <v>940</v>
      </c>
      <c r="H670">
        <f ca="1">IF(106.61&lt;&gt;106.6,0.010000000000005116,0)</f>
        <v>0</v>
      </c>
      <c r="I670" t="s">
        <v>14</v>
      </c>
      <c r="J670" t="s">
        <v>14</v>
      </c>
    </row>
    <row r="671" spans="1:10">
      <c r="A671" t="s">
        <v>947</v>
      </c>
      <c r="B671" t="s">
        <v>939</v>
      </c>
      <c r="C671" t="s">
        <v>817</v>
      </c>
      <c r="D671" s="1">
        <v>20.66</v>
      </c>
      <c r="E671" s="2">
        <v>4.4</v>
      </c>
      <c r="F671" s="2">
        <v>90.9</v>
      </c>
      <c r="G671" t="s">
        <v>940</v>
      </c>
      <c r="H671">
        <f ca="1">IF(90.9&lt;&gt;90.9,0,0)</f>
        <v>0</v>
      </c>
      <c r="I671" t="s">
        <v>14</v>
      </c>
      <c r="J671" t="s">
        <v>14</v>
      </c>
    </row>
    <row r="672" spans="1:10">
      <c r="A672" t="s">
        <v>948</v>
      </c>
      <c r="B672" t="s">
        <v>939</v>
      </c>
      <c r="C672" t="s">
        <v>944</v>
      </c>
      <c r="D672" s="1">
        <v>20.61</v>
      </c>
      <c r="E672" s="2">
        <v>5.7</v>
      </c>
      <c r="F672" s="2">
        <v>117.48</v>
      </c>
      <c r="G672" t="s">
        <v>940</v>
      </c>
      <c r="H672">
        <f ca="1">IF(117.48&lt;&gt;117.48,0,0)</f>
        <v>0</v>
      </c>
      <c r="I672" t="s">
        <v>14</v>
      </c>
      <c r="J672" t="s">
        <v>14</v>
      </c>
    </row>
    <row r="673" spans="1:10">
      <c r="A673" t="s">
        <v>949</v>
      </c>
      <c r="B673" t="s">
        <v>939</v>
      </c>
      <c r="C673" t="s">
        <v>583</v>
      </c>
      <c r="D673" s="1">
        <v>20.68</v>
      </c>
      <c r="E673" s="2">
        <v>4.2</v>
      </c>
      <c r="F673" s="2">
        <v>86.86</v>
      </c>
      <c r="G673" t="s">
        <v>940</v>
      </c>
      <c r="H673">
        <f ca="1">IF(86.86&lt;&gt;86.86,0,0)</f>
        <v>0</v>
      </c>
      <c r="I673" t="s">
        <v>14</v>
      </c>
      <c r="J673" t="s">
        <v>14</v>
      </c>
    </row>
    <row r="674" spans="1:10">
      <c r="A674" t="s">
        <v>950</v>
      </c>
      <c r="B674" t="s">
        <v>939</v>
      </c>
      <c r="C674" t="s">
        <v>583</v>
      </c>
      <c r="D674" s="1">
        <v>20.61</v>
      </c>
      <c r="E674" s="2">
        <v>4.2</v>
      </c>
      <c r="F674" s="2">
        <v>86.56</v>
      </c>
      <c r="G674" t="s">
        <v>940</v>
      </c>
      <c r="H674">
        <f ca="1">IF(86.56&lt;&gt;86.56,0,0)</f>
        <v>0</v>
      </c>
      <c r="I674" t="s">
        <v>14</v>
      </c>
      <c r="J674" t="s">
        <v>14</v>
      </c>
    </row>
    <row r="675" spans="1:10">
      <c r="A675" t="s">
        <v>951</v>
      </c>
      <c r="B675" t="s">
        <v>939</v>
      </c>
      <c r="C675" t="s">
        <v>885</v>
      </c>
      <c r="D675" s="1">
        <v>20.53</v>
      </c>
      <c r="E675" s="2">
        <v>5.95</v>
      </c>
      <c r="F675" s="2">
        <v>122.15</v>
      </c>
      <c r="G675" t="s">
        <v>940</v>
      </c>
      <c r="H675">
        <f ca="1">IF(122.15&lt;&gt;122.15,0,0)</f>
        <v>0</v>
      </c>
      <c r="I675" t="s">
        <v>14</v>
      </c>
      <c r="J675" t="s">
        <v>14</v>
      </c>
    </row>
    <row r="676" spans="1:10">
      <c r="A676" t="s">
        <v>952</v>
      </c>
      <c r="B676" t="s">
        <v>939</v>
      </c>
      <c r="C676" t="s">
        <v>590</v>
      </c>
      <c r="D676" s="1">
        <v>20.52</v>
      </c>
      <c r="E676" s="2">
        <v>4.4</v>
      </c>
      <c r="F676" s="2">
        <v>90.29</v>
      </c>
      <c r="G676" t="s">
        <v>940</v>
      </c>
      <c r="H676">
        <f ca="1">IF(90.29&lt;&gt;90.29,0,0)</f>
        <v>0</v>
      </c>
      <c r="I676" t="s">
        <v>14</v>
      </c>
      <c r="J676" t="s">
        <v>14</v>
      </c>
    </row>
    <row r="677" spans="1:10">
      <c r="A677" t="s">
        <v>953</v>
      </c>
      <c r="B677" t="s">
        <v>939</v>
      </c>
      <c r="C677" t="s">
        <v>71</v>
      </c>
      <c r="D677" s="1">
        <v>20.69</v>
      </c>
      <c r="E677" s="2">
        <v>5.95</v>
      </c>
      <c r="F677" s="2">
        <v>123.11</v>
      </c>
      <c r="G677" t="s">
        <v>940</v>
      </c>
      <c r="H677">
        <f ca="1">IF(123.11&lt;&gt;123.11,0,0)</f>
        <v>0</v>
      </c>
      <c r="I677" t="s">
        <v>14</v>
      </c>
      <c r="J677" t="s">
        <v>14</v>
      </c>
    </row>
    <row r="678" spans="1:10">
      <c r="A678" t="s">
        <v>954</v>
      </c>
      <c r="B678" t="s">
        <v>939</v>
      </c>
      <c r="C678" t="s">
        <v>579</v>
      </c>
      <c r="D678" s="1">
        <v>20.51</v>
      </c>
      <c r="E678" s="2">
        <v>9.5</v>
      </c>
      <c r="F678" s="2">
        <v>194.85</v>
      </c>
      <c r="G678" t="s">
        <v>940</v>
      </c>
      <c r="H678">
        <f ca="1">IF(194.85&lt;&gt;194.85,0,0)</f>
        <v>0</v>
      </c>
      <c r="I678" t="s">
        <v>14</v>
      </c>
      <c r="J678" t="s">
        <v>14</v>
      </c>
    </row>
    <row r="679" spans="1:10">
      <c r="A679" t="s">
        <v>955</v>
      </c>
      <c r="B679" t="s">
        <v>939</v>
      </c>
      <c r="C679" t="s">
        <v>583</v>
      </c>
      <c r="D679" s="1">
        <v>20.45</v>
      </c>
      <c r="E679" s="2">
        <v>4.2</v>
      </c>
      <c r="F679" s="2">
        <v>85.89</v>
      </c>
      <c r="G679" t="s">
        <v>940</v>
      </c>
      <c r="H679">
        <f ca="1">IF(85.89&lt;&gt;85.89,0,0)</f>
        <v>0</v>
      </c>
      <c r="I679" t="s">
        <v>14</v>
      </c>
      <c r="J679" t="s">
        <v>14</v>
      </c>
    </row>
    <row r="680" spans="1:10">
      <c r="A680" t="s">
        <v>956</v>
      </c>
      <c r="B680" t="s">
        <v>939</v>
      </c>
      <c r="C680" t="s">
        <v>583</v>
      </c>
      <c r="D680" s="1">
        <v>20.46</v>
      </c>
      <c r="E680" s="2">
        <v>4.2</v>
      </c>
      <c r="F680" s="2">
        <v>85.93</v>
      </c>
      <c r="G680" t="s">
        <v>940</v>
      </c>
      <c r="H680">
        <f ca="1">IF(85.93&lt;&gt;85.93,0,0)</f>
        <v>0</v>
      </c>
      <c r="I680" t="s">
        <v>14</v>
      </c>
      <c r="J680" t="s">
        <v>14</v>
      </c>
    </row>
    <row r="681" spans="1:10">
      <c r="A681" t="s">
        <v>957</v>
      </c>
      <c r="B681" t="s">
        <v>939</v>
      </c>
      <c r="C681" t="s">
        <v>627</v>
      </c>
      <c r="D681" s="1">
        <v>20.4</v>
      </c>
      <c r="E681" s="2">
        <v>4.2</v>
      </c>
      <c r="F681" s="2">
        <v>85.68</v>
      </c>
      <c r="G681" t="s">
        <v>940</v>
      </c>
      <c r="H681">
        <f ca="1">IF(85.68&lt;&gt;85.68,0,0)</f>
        <v>0</v>
      </c>
      <c r="I681" t="s">
        <v>14</v>
      </c>
      <c r="J681" t="s">
        <v>14</v>
      </c>
    </row>
    <row r="682" spans="1:10">
      <c r="A682" t="s">
        <v>958</v>
      </c>
      <c r="B682" t="s">
        <v>939</v>
      </c>
      <c r="C682" t="s">
        <v>592</v>
      </c>
      <c r="D682" s="1">
        <v>20.44</v>
      </c>
      <c r="E682" s="2">
        <v>4.55</v>
      </c>
      <c r="F682" s="2">
        <v>93</v>
      </c>
      <c r="G682" t="s">
        <v>940</v>
      </c>
      <c r="H682">
        <f ca="1">IF(93&lt;&gt;93,0,0)</f>
        <v>0</v>
      </c>
      <c r="I682" t="s">
        <v>14</v>
      </c>
      <c r="J682" t="s">
        <v>14</v>
      </c>
    </row>
    <row r="683" spans="1:10">
      <c r="A683" t="s">
        <v>959</v>
      </c>
      <c r="B683" t="s">
        <v>939</v>
      </c>
      <c r="C683" t="s">
        <v>590</v>
      </c>
      <c r="D683" s="1">
        <v>20.5</v>
      </c>
      <c r="E683" s="2">
        <v>4.4</v>
      </c>
      <c r="F683" s="2">
        <v>90.2</v>
      </c>
      <c r="G683" t="s">
        <v>940</v>
      </c>
      <c r="H683">
        <f ca="1">IF(90.2&lt;&gt;90.2,0,0)</f>
        <v>0</v>
      </c>
      <c r="I683" t="s">
        <v>14</v>
      </c>
      <c r="J683" t="s">
        <v>14</v>
      </c>
    </row>
    <row r="684" spans="1:10">
      <c r="A684" t="s">
        <v>960</v>
      </c>
      <c r="B684" t="s">
        <v>939</v>
      </c>
      <c r="C684" t="s">
        <v>583</v>
      </c>
      <c r="D684" s="1">
        <v>20.41</v>
      </c>
      <c r="E684" s="2">
        <v>4.95</v>
      </c>
      <c r="F684" s="2">
        <v>101.03</v>
      </c>
      <c r="G684" t="s">
        <v>940</v>
      </c>
      <c r="H684">
        <f ca="1">IF(101.03&lt;&gt;101.03,0,0)</f>
        <v>0</v>
      </c>
      <c r="I684" t="s">
        <v>14</v>
      </c>
      <c r="J684" t="s">
        <v>14</v>
      </c>
    </row>
    <row r="685" spans="1:10">
      <c r="A685" t="s">
        <v>961</v>
      </c>
      <c r="B685" t="s">
        <v>939</v>
      </c>
      <c r="C685" t="s">
        <v>838</v>
      </c>
      <c r="D685" s="1">
        <v>20.45</v>
      </c>
      <c r="E685" s="2">
        <v>5.7</v>
      </c>
      <c r="F685" s="2">
        <v>116.57</v>
      </c>
      <c r="G685" t="s">
        <v>940</v>
      </c>
      <c r="H685">
        <f ca="1">IF(116.57&lt;&gt;116.56,0.009999999999990905,0)</f>
        <v>0</v>
      </c>
      <c r="I685" t="s">
        <v>14</v>
      </c>
      <c r="J685" t="s">
        <v>14</v>
      </c>
    </row>
    <row r="686" spans="1:10">
      <c r="A686" t="s">
        <v>962</v>
      </c>
      <c r="B686" t="s">
        <v>939</v>
      </c>
      <c r="C686" t="s">
        <v>844</v>
      </c>
      <c r="D686" s="1">
        <v>20.46</v>
      </c>
      <c r="E686" s="2">
        <v>3.7</v>
      </c>
      <c r="F686" s="2">
        <v>75.7</v>
      </c>
      <c r="G686" t="s">
        <v>940</v>
      </c>
      <c r="H686">
        <f ca="1">IF(75.7&lt;&gt;75.7,0,0)</f>
        <v>0</v>
      </c>
      <c r="I686" t="s">
        <v>14</v>
      </c>
      <c r="J686" t="s">
        <v>14</v>
      </c>
    </row>
    <row r="687" spans="1:10">
      <c r="A687" t="s">
        <v>963</v>
      </c>
      <c r="B687" t="s">
        <v>939</v>
      </c>
      <c r="C687" t="s">
        <v>842</v>
      </c>
      <c r="D687" s="1">
        <v>20.42</v>
      </c>
      <c r="E687" s="2">
        <v>6.4</v>
      </c>
      <c r="F687" s="2">
        <v>130.69</v>
      </c>
      <c r="G687" t="s">
        <v>940</v>
      </c>
      <c r="H687">
        <f ca="1">IF(130.69&lt;&gt;130.69,0,0)</f>
        <v>0</v>
      </c>
      <c r="I687" t="s">
        <v>14</v>
      </c>
      <c r="J687" t="s">
        <v>14</v>
      </c>
    </row>
    <row r="688" spans="1:10">
      <c r="A688" t="s">
        <v>964</v>
      </c>
      <c r="B688" t="s">
        <v>939</v>
      </c>
      <c r="C688" t="s">
        <v>844</v>
      </c>
      <c r="D688" s="1">
        <v>20.44</v>
      </c>
      <c r="E688" s="2">
        <v>3.7</v>
      </c>
      <c r="F688" s="2">
        <v>75.63</v>
      </c>
      <c r="G688" t="s">
        <v>940</v>
      </c>
      <c r="H688">
        <f ca="1">IF(75.63&lt;&gt;75.63,0,0)</f>
        <v>0</v>
      </c>
      <c r="I688" t="s">
        <v>14</v>
      </c>
      <c r="J688" t="s">
        <v>14</v>
      </c>
    </row>
    <row r="689" spans="1:10">
      <c r="A689" t="s">
        <v>965</v>
      </c>
      <c r="B689" t="s">
        <v>939</v>
      </c>
      <c r="C689" t="s">
        <v>865</v>
      </c>
      <c r="D689" s="1">
        <v>20.41</v>
      </c>
      <c r="E689" s="2">
        <v>4.55</v>
      </c>
      <c r="F689" s="2">
        <v>92.87</v>
      </c>
      <c r="G689" t="s">
        <v>940</v>
      </c>
      <c r="H689">
        <f ca="1">IF(92.87&lt;&gt;92.87,0,0)</f>
        <v>0</v>
      </c>
      <c r="I689" t="s">
        <v>14</v>
      </c>
      <c r="J689" t="s">
        <v>14</v>
      </c>
    </row>
    <row r="690" spans="1:10">
      <c r="A690" t="s">
        <v>966</v>
      </c>
      <c r="B690" t="s">
        <v>939</v>
      </c>
      <c r="C690" t="s">
        <v>722</v>
      </c>
      <c r="D690" s="1">
        <v>20.43</v>
      </c>
      <c r="E690" s="2">
        <v>5.95</v>
      </c>
      <c r="F690" s="2">
        <v>121.56</v>
      </c>
      <c r="G690" t="s">
        <v>940</v>
      </c>
      <c r="H690">
        <f ca="1">IF(121.56&lt;&gt;121.56,0,0)</f>
        <v>0</v>
      </c>
      <c r="I690" t="s">
        <v>14</v>
      </c>
      <c r="J690" t="s">
        <v>14</v>
      </c>
    </row>
    <row r="691" spans="1:10">
      <c r="A691" t="s">
        <v>967</v>
      </c>
      <c r="B691" t="s">
        <v>968</v>
      </c>
      <c r="C691" t="s">
        <v>217</v>
      </c>
      <c r="D691" s="1">
        <v>21.11</v>
      </c>
      <c r="E691" s="2">
        <v>6.4</v>
      </c>
      <c r="F691" s="2">
        <v>135.1</v>
      </c>
      <c r="G691" t="s">
        <v>969</v>
      </c>
      <c r="H691">
        <f ca="1">IF(135.1&lt;&gt;135.1,0,0)</f>
        <v>0</v>
      </c>
      <c r="I691" t="s">
        <v>14</v>
      </c>
      <c r="J691" t="s">
        <v>14</v>
      </c>
    </row>
    <row r="692" spans="1:10">
      <c r="A692" t="s">
        <v>970</v>
      </c>
      <c r="B692" t="s">
        <v>968</v>
      </c>
      <c r="C692" t="s">
        <v>971</v>
      </c>
      <c r="D692" s="1">
        <v>21.12</v>
      </c>
      <c r="E692" s="2">
        <v>3.7</v>
      </c>
      <c r="F692" s="2">
        <v>78.14</v>
      </c>
      <c r="G692" t="s">
        <v>969</v>
      </c>
      <c r="H692">
        <f ca="1">IF(78.14&lt;&gt;78.14,0,0)</f>
        <v>0</v>
      </c>
      <c r="I692" t="s">
        <v>14</v>
      </c>
      <c r="J692" t="s">
        <v>14</v>
      </c>
    </row>
    <row r="693" spans="1:10">
      <c r="A693" t="s">
        <v>972</v>
      </c>
      <c r="B693" t="s">
        <v>968</v>
      </c>
      <c r="C693" t="s">
        <v>398</v>
      </c>
      <c r="D693" s="1">
        <v>21.14</v>
      </c>
      <c r="E693" s="2">
        <v>6.2</v>
      </c>
      <c r="F693" s="2">
        <v>131.07</v>
      </c>
      <c r="G693" t="s">
        <v>969</v>
      </c>
      <c r="H693">
        <f ca="1">IF(131.07&lt;&gt;131.07,0,0)</f>
        <v>0</v>
      </c>
      <c r="I693" t="s">
        <v>14</v>
      </c>
      <c r="J693" t="s">
        <v>14</v>
      </c>
    </row>
    <row r="694" spans="1:10">
      <c r="A694" t="s">
        <v>973</v>
      </c>
      <c r="B694" t="s">
        <v>968</v>
      </c>
      <c r="C694" t="s">
        <v>226</v>
      </c>
      <c r="D694" s="1">
        <v>21.12</v>
      </c>
      <c r="E694" s="2">
        <v>5.7</v>
      </c>
      <c r="F694" s="2">
        <v>120.38</v>
      </c>
      <c r="G694" t="s">
        <v>969</v>
      </c>
      <c r="H694">
        <f ca="1">IF(120.38&lt;&gt;120.38,0,0)</f>
        <v>0</v>
      </c>
      <c r="I694" t="s">
        <v>14</v>
      </c>
      <c r="J694" t="s">
        <v>14</v>
      </c>
    </row>
    <row r="695" spans="1:10">
      <c r="A695" t="s">
        <v>974</v>
      </c>
      <c r="B695" t="s">
        <v>968</v>
      </c>
      <c r="C695" t="s">
        <v>389</v>
      </c>
      <c r="D695" s="1">
        <v>21.16</v>
      </c>
      <c r="E695" s="2">
        <v>4.2</v>
      </c>
      <c r="F695" s="2">
        <v>88.87</v>
      </c>
      <c r="G695" t="s">
        <v>969</v>
      </c>
      <c r="H695">
        <f ca="1">IF(88.87&lt;&gt;88.87,0,0)</f>
        <v>0</v>
      </c>
      <c r="I695" t="s">
        <v>14</v>
      </c>
      <c r="J695" t="s">
        <v>14</v>
      </c>
    </row>
    <row r="696" spans="1:10">
      <c r="A696" t="s">
        <v>975</v>
      </c>
      <c r="B696" t="s">
        <v>968</v>
      </c>
      <c r="C696" t="s">
        <v>253</v>
      </c>
      <c r="D696" s="1">
        <v>21.1</v>
      </c>
      <c r="E696" s="2">
        <v>5.95</v>
      </c>
      <c r="F696" s="2">
        <v>125.55</v>
      </c>
      <c r="G696" t="s">
        <v>969</v>
      </c>
      <c r="H696">
        <f ca="1">IF(125.55&lt;&gt;125.55,0,0)</f>
        <v>0</v>
      </c>
      <c r="I696" t="s">
        <v>14</v>
      </c>
      <c r="J696" t="s">
        <v>14</v>
      </c>
    </row>
    <row r="697" spans="1:10">
      <c r="A697" t="s">
        <v>976</v>
      </c>
      <c r="B697" t="s">
        <v>968</v>
      </c>
      <c r="C697" t="s">
        <v>224</v>
      </c>
      <c r="D697" s="1">
        <v>21.16</v>
      </c>
      <c r="E697" s="2">
        <v>4.55</v>
      </c>
      <c r="F697" s="2">
        <v>96.28</v>
      </c>
      <c r="G697" t="s">
        <v>969</v>
      </c>
      <c r="H697">
        <f ca="1">IF(96.28&lt;&gt;96.28,0,0)</f>
        <v>0</v>
      </c>
      <c r="I697" t="s">
        <v>14</v>
      </c>
      <c r="J697" t="s">
        <v>14</v>
      </c>
    </row>
    <row r="698" spans="1:10">
      <c r="A698" t="s">
        <v>977</v>
      </c>
      <c r="B698" t="s">
        <v>968</v>
      </c>
      <c r="C698" t="s">
        <v>215</v>
      </c>
      <c r="D698" s="1">
        <v>21.12</v>
      </c>
      <c r="E698" s="2">
        <v>6.2</v>
      </c>
      <c r="F698" s="2">
        <v>130.94</v>
      </c>
      <c r="G698" t="s">
        <v>969</v>
      </c>
      <c r="H698">
        <f ca="1">IF(130.94&lt;&gt;130.94,0,0)</f>
        <v>0</v>
      </c>
      <c r="I698" t="s">
        <v>14</v>
      </c>
      <c r="J698" t="s">
        <v>14</v>
      </c>
    </row>
    <row r="699" spans="1:10">
      <c r="A699" t="s">
        <v>978</v>
      </c>
      <c r="B699" t="s">
        <v>979</v>
      </c>
      <c r="C699" t="s">
        <v>980</v>
      </c>
      <c r="D699" s="1">
        <v>20.67</v>
      </c>
      <c r="E699" s="2">
        <v>4.55</v>
      </c>
      <c r="F699" s="2">
        <v>94.05</v>
      </c>
      <c r="G699" t="s">
        <v>981</v>
      </c>
      <c r="H699">
        <f ca="1">IF(94.05&lt;&gt;94.05,0,0)</f>
        <v>0</v>
      </c>
      <c r="I699" t="s">
        <v>982</v>
      </c>
      <c r="J699" t="s">
        <v>982</v>
      </c>
    </row>
    <row r="700" spans="1:10">
      <c r="A700" t="s">
        <v>983</v>
      </c>
      <c r="B700" t="s">
        <v>979</v>
      </c>
      <c r="C700" t="s">
        <v>215</v>
      </c>
      <c r="D700" s="1">
        <v>20.47</v>
      </c>
      <c r="E700" s="2">
        <v>6.2</v>
      </c>
      <c r="F700" s="2">
        <v>126.91</v>
      </c>
      <c r="G700" t="s">
        <v>981</v>
      </c>
      <c r="H700">
        <f ca="1">IF(126.91&lt;&gt;126.91,0,0)</f>
        <v>0</v>
      </c>
      <c r="I700" t="s">
        <v>14</v>
      </c>
      <c r="J700" t="s">
        <v>14</v>
      </c>
    </row>
    <row r="701" spans="1:10">
      <c r="A701" t="s">
        <v>984</v>
      </c>
      <c r="B701" t="s">
        <v>979</v>
      </c>
      <c r="C701" t="s">
        <v>233</v>
      </c>
      <c r="D701" s="1">
        <v>20.6</v>
      </c>
      <c r="E701" s="2">
        <v>3.35</v>
      </c>
      <c r="F701" s="2">
        <v>69.01</v>
      </c>
      <c r="G701" t="s">
        <v>981</v>
      </c>
      <c r="H701">
        <f ca="1">IF(69.01&lt;&gt;69.01,0,0)</f>
        <v>0</v>
      </c>
      <c r="I701" t="s">
        <v>14</v>
      </c>
      <c r="J701" t="s">
        <v>14</v>
      </c>
    </row>
    <row r="702" spans="1:10">
      <c r="A702" t="s">
        <v>985</v>
      </c>
      <c r="B702" t="s">
        <v>979</v>
      </c>
      <c r="C702" t="s">
        <v>235</v>
      </c>
      <c r="D702" s="1">
        <v>20.51</v>
      </c>
      <c r="E702" s="2">
        <v>6.2</v>
      </c>
      <c r="F702" s="2">
        <v>127.16</v>
      </c>
      <c r="G702" t="s">
        <v>981</v>
      </c>
      <c r="H702">
        <f ca="1">IF(127.16&lt;&gt;127.16,0,0)</f>
        <v>0</v>
      </c>
      <c r="I702" t="s">
        <v>14</v>
      </c>
      <c r="J702" t="s">
        <v>14</v>
      </c>
    </row>
    <row r="703" spans="1:10">
      <c r="A703" t="s">
        <v>986</v>
      </c>
      <c r="B703" t="s">
        <v>979</v>
      </c>
      <c r="C703" t="s">
        <v>229</v>
      </c>
      <c r="D703" s="1">
        <v>20.49</v>
      </c>
      <c r="E703" s="2">
        <v>4.55</v>
      </c>
      <c r="F703" s="2">
        <v>93.23</v>
      </c>
      <c r="G703" t="s">
        <v>981</v>
      </c>
      <c r="H703">
        <f ca="1">IF(93.23&lt;&gt;93.23,0,0)</f>
        <v>0</v>
      </c>
      <c r="I703" t="s">
        <v>14</v>
      </c>
      <c r="J703" t="s">
        <v>14</v>
      </c>
    </row>
    <row r="704" spans="1:10">
      <c r="A704" t="s">
        <v>987</v>
      </c>
      <c r="B704" t="s">
        <v>979</v>
      </c>
      <c r="C704" t="s">
        <v>211</v>
      </c>
      <c r="D704" s="1">
        <v>20.51</v>
      </c>
      <c r="E704" s="2">
        <v>4.95</v>
      </c>
      <c r="F704" s="2">
        <v>101.52</v>
      </c>
      <c r="G704" t="s">
        <v>981</v>
      </c>
      <c r="H704">
        <f ca="1">IF(101.52&lt;&gt;101.52,0,0)</f>
        <v>0</v>
      </c>
      <c r="I704" t="s">
        <v>14</v>
      </c>
      <c r="J704" t="s">
        <v>14</v>
      </c>
    </row>
    <row r="705" spans="1:10">
      <c r="A705" t="s">
        <v>988</v>
      </c>
      <c r="B705" t="s">
        <v>979</v>
      </c>
      <c r="C705" t="s">
        <v>989</v>
      </c>
      <c r="D705" s="1">
        <v>20.49</v>
      </c>
      <c r="E705" s="2">
        <v>6.2</v>
      </c>
      <c r="F705" s="2">
        <v>127.04</v>
      </c>
      <c r="G705" t="s">
        <v>981</v>
      </c>
      <c r="H705">
        <f ca="1">IF(127.04&lt;&gt;127.04,0,0)</f>
        <v>0</v>
      </c>
      <c r="I705" t="s">
        <v>14</v>
      </c>
      <c r="J705" t="s">
        <v>14</v>
      </c>
    </row>
    <row r="706" spans="1:10">
      <c r="A706" t="s">
        <v>990</v>
      </c>
      <c r="B706" t="s">
        <v>979</v>
      </c>
      <c r="C706" t="s">
        <v>428</v>
      </c>
      <c r="D706" s="1">
        <v>20.44</v>
      </c>
      <c r="E706" s="2">
        <v>4.55</v>
      </c>
      <c r="F706" s="2">
        <v>93</v>
      </c>
      <c r="G706" t="s">
        <v>981</v>
      </c>
      <c r="H706">
        <f ca="1">IF(93&lt;&gt;93,0,0)</f>
        <v>0</v>
      </c>
      <c r="I706" t="s">
        <v>14</v>
      </c>
      <c r="J706" t="s">
        <v>14</v>
      </c>
    </row>
    <row r="707" spans="1:10">
      <c r="A707" t="s">
        <v>991</v>
      </c>
      <c r="B707" t="s">
        <v>979</v>
      </c>
      <c r="C707" t="s">
        <v>518</v>
      </c>
      <c r="D707" s="1">
        <v>20.5</v>
      </c>
      <c r="E707" s="2">
        <v>4.4</v>
      </c>
      <c r="F707" s="2">
        <v>90.2</v>
      </c>
      <c r="G707" t="s">
        <v>981</v>
      </c>
      <c r="H707">
        <f ca="1">IF(90.2&lt;&gt;90.2,0,0)</f>
        <v>0</v>
      </c>
      <c r="I707" t="s">
        <v>14</v>
      </c>
      <c r="J707" t="s">
        <v>14</v>
      </c>
    </row>
    <row r="708" spans="1:10">
      <c r="A708" t="s">
        <v>992</v>
      </c>
      <c r="B708" t="s">
        <v>979</v>
      </c>
      <c r="C708" t="s">
        <v>913</v>
      </c>
      <c r="D708" s="1">
        <v>20.5</v>
      </c>
      <c r="E708" s="2">
        <v>5.95</v>
      </c>
      <c r="F708" s="2">
        <v>121.98</v>
      </c>
      <c r="G708" t="s">
        <v>981</v>
      </c>
      <c r="H708">
        <f ca="1">IF(121.98&lt;&gt;121.98,0,0)</f>
        <v>0</v>
      </c>
      <c r="I708" t="s">
        <v>14</v>
      </c>
      <c r="J708" t="s">
        <v>14</v>
      </c>
    </row>
    <row r="709" spans="1:10">
      <c r="A709" t="s">
        <v>993</v>
      </c>
      <c r="B709" t="s">
        <v>979</v>
      </c>
      <c r="C709" t="s">
        <v>219</v>
      </c>
      <c r="D709" s="1">
        <v>20.51</v>
      </c>
      <c r="E709" s="2">
        <v>3.35</v>
      </c>
      <c r="F709" s="2">
        <v>68.71</v>
      </c>
      <c r="G709" t="s">
        <v>981</v>
      </c>
      <c r="H709">
        <f ca="1">IF(68.71&lt;&gt;68.71,0,0)</f>
        <v>0</v>
      </c>
      <c r="I709" t="s">
        <v>14</v>
      </c>
      <c r="J709" t="s">
        <v>14</v>
      </c>
    </row>
    <row r="710" spans="1:10">
      <c r="A710" t="s">
        <v>994</v>
      </c>
      <c r="B710" t="s">
        <v>979</v>
      </c>
      <c r="C710" t="s">
        <v>995</v>
      </c>
      <c r="D710" s="1">
        <v>20.56</v>
      </c>
      <c r="E710" s="2">
        <v>5.7</v>
      </c>
      <c r="F710" s="2">
        <v>117.19</v>
      </c>
      <c r="G710" t="s">
        <v>981</v>
      </c>
      <c r="H710">
        <f ca="1">IF(117.19&lt;&gt;117.19,0,0)</f>
        <v>0</v>
      </c>
      <c r="I710" t="s">
        <v>14</v>
      </c>
      <c r="J710" t="s">
        <v>14</v>
      </c>
    </row>
    <row r="711" spans="1:10">
      <c r="A711" t="s">
        <v>996</v>
      </c>
      <c r="B711" t="s">
        <v>979</v>
      </c>
      <c r="C711" t="s">
        <v>384</v>
      </c>
      <c r="D711" s="1">
        <v>20.5</v>
      </c>
      <c r="E711" s="2">
        <v>5.45</v>
      </c>
      <c r="F711" s="2">
        <v>111.73</v>
      </c>
      <c r="G711" t="s">
        <v>981</v>
      </c>
      <c r="H711">
        <f ca="1">IF(111.73&lt;&gt;111.72,0.010000000000005116,0)</f>
        <v>0</v>
      </c>
      <c r="I711" t="s">
        <v>14</v>
      </c>
      <c r="J711" t="s">
        <v>14</v>
      </c>
    </row>
    <row r="712" spans="1:10">
      <c r="A712" t="s">
        <v>997</v>
      </c>
      <c r="B712" t="s">
        <v>979</v>
      </c>
      <c r="C712" t="s">
        <v>913</v>
      </c>
      <c r="D712" s="1">
        <v>20.52</v>
      </c>
      <c r="E712" s="2">
        <v>5.95</v>
      </c>
      <c r="F712" s="2">
        <v>122.09</v>
      </c>
      <c r="G712" t="s">
        <v>981</v>
      </c>
      <c r="H712">
        <f ca="1">IF(122.09&lt;&gt;122.09,0,0)</f>
        <v>0</v>
      </c>
      <c r="I712" t="s">
        <v>14</v>
      </c>
      <c r="J712" t="s">
        <v>14</v>
      </c>
    </row>
    <row r="713" spans="1:10">
      <c r="A713" t="s">
        <v>998</v>
      </c>
      <c r="B713" t="s">
        <v>979</v>
      </c>
      <c r="C713" t="s">
        <v>384</v>
      </c>
      <c r="D713" s="1">
        <v>20.51</v>
      </c>
      <c r="E713" s="2">
        <v>5.45</v>
      </c>
      <c r="F713" s="2">
        <v>111.78</v>
      </c>
      <c r="G713" t="s">
        <v>981</v>
      </c>
      <c r="H713">
        <f ca="1">IF(111.78&lt;&gt;111.78,0,0)</f>
        <v>0</v>
      </c>
      <c r="I713" t="s">
        <v>14</v>
      </c>
      <c r="J713" t="s">
        <v>14</v>
      </c>
    </row>
    <row r="714" spans="1:10">
      <c r="A714" t="s">
        <v>999</v>
      </c>
      <c r="B714" t="s">
        <v>979</v>
      </c>
      <c r="C714" t="s">
        <v>233</v>
      </c>
      <c r="D714" s="1">
        <v>20.54</v>
      </c>
      <c r="E714" s="2">
        <v>3.35</v>
      </c>
      <c r="F714" s="2">
        <v>68.81</v>
      </c>
      <c r="G714" t="s">
        <v>981</v>
      </c>
      <c r="H714">
        <f ca="1">IF(68.81&lt;&gt;68.81,0,0)</f>
        <v>0</v>
      </c>
      <c r="I714" t="s">
        <v>14</v>
      </c>
      <c r="J714" t="s">
        <v>14</v>
      </c>
    </row>
    <row r="715" spans="1:10">
      <c r="A715" t="s">
        <v>1000</v>
      </c>
      <c r="B715" t="s">
        <v>979</v>
      </c>
      <c r="C715" t="s">
        <v>398</v>
      </c>
      <c r="D715" s="1">
        <v>20.56</v>
      </c>
      <c r="E715" s="2">
        <v>6.2</v>
      </c>
      <c r="F715" s="2">
        <v>127.47</v>
      </c>
      <c r="G715" t="s">
        <v>981</v>
      </c>
      <c r="H715">
        <f ca="1">IF(127.47&lt;&gt;127.47,0,0)</f>
        <v>0</v>
      </c>
      <c r="I715" t="s">
        <v>14</v>
      </c>
      <c r="J715" t="s">
        <v>14</v>
      </c>
    </row>
    <row r="716" spans="1:10">
      <c r="A716" t="s">
        <v>1001</v>
      </c>
      <c r="B716" t="s">
        <v>979</v>
      </c>
      <c r="C716" t="s">
        <v>204</v>
      </c>
      <c r="D716" s="1">
        <v>20.54</v>
      </c>
      <c r="E716" s="2">
        <v>4.4</v>
      </c>
      <c r="F716" s="2">
        <v>90.38</v>
      </c>
      <c r="G716" t="s">
        <v>981</v>
      </c>
      <c r="H716">
        <f ca="1">IF(90.38&lt;&gt;90.38,0,0)</f>
        <v>0</v>
      </c>
      <c r="I716" t="s">
        <v>14</v>
      </c>
      <c r="J716" t="s">
        <v>14</v>
      </c>
    </row>
    <row r="717" spans="1:10">
      <c r="A717" t="s">
        <v>1002</v>
      </c>
      <c r="B717" t="s">
        <v>979</v>
      </c>
      <c r="C717" t="s">
        <v>235</v>
      </c>
      <c r="D717" s="1">
        <v>20.52</v>
      </c>
      <c r="E717" s="2">
        <v>6.2</v>
      </c>
      <c r="F717" s="2">
        <v>127.22</v>
      </c>
      <c r="G717" t="s">
        <v>981</v>
      </c>
      <c r="H717">
        <f ca="1">IF(127.22&lt;&gt;127.22,0,0)</f>
        <v>0</v>
      </c>
      <c r="I717" t="s">
        <v>14</v>
      </c>
      <c r="J717" t="s">
        <v>14</v>
      </c>
    </row>
    <row r="718" spans="1:10">
      <c r="A718" t="s">
        <v>1003</v>
      </c>
      <c r="B718" t="s">
        <v>979</v>
      </c>
      <c r="C718" t="s">
        <v>233</v>
      </c>
      <c r="D718" s="1">
        <v>20.47</v>
      </c>
      <c r="E718" s="2">
        <v>3.35</v>
      </c>
      <c r="F718" s="2">
        <v>68.57</v>
      </c>
      <c r="G718" t="s">
        <v>981</v>
      </c>
      <c r="H718">
        <f ca="1">IF(68.57&lt;&gt;68.57,0,0)</f>
        <v>0</v>
      </c>
      <c r="I718" t="s">
        <v>14</v>
      </c>
      <c r="J718" t="s">
        <v>14</v>
      </c>
    </row>
    <row r="719" spans="1:10">
      <c r="A719" t="s">
        <v>1004</v>
      </c>
      <c r="B719" t="s">
        <v>979</v>
      </c>
      <c r="C719" t="s">
        <v>235</v>
      </c>
      <c r="D719" s="1">
        <v>20.55</v>
      </c>
      <c r="E719" s="2">
        <v>6.2</v>
      </c>
      <c r="F719" s="2">
        <v>127.41</v>
      </c>
      <c r="G719" t="s">
        <v>981</v>
      </c>
      <c r="H719">
        <f ca="1">IF(127.41&lt;&gt;127.41,0,0)</f>
        <v>0</v>
      </c>
      <c r="I719" t="s">
        <v>14</v>
      </c>
      <c r="J719" t="s">
        <v>14</v>
      </c>
    </row>
    <row r="720" spans="1:10">
      <c r="A720" t="s">
        <v>1005</v>
      </c>
      <c r="B720" t="s">
        <v>979</v>
      </c>
      <c r="C720" t="s">
        <v>204</v>
      </c>
      <c r="D720" s="1">
        <v>20.56</v>
      </c>
      <c r="E720" s="2">
        <v>4.4</v>
      </c>
      <c r="F720" s="2">
        <v>90.46</v>
      </c>
      <c r="G720" t="s">
        <v>981</v>
      </c>
      <c r="H720">
        <f ca="1">IF(90.46&lt;&gt;90.46,0,0)</f>
        <v>0</v>
      </c>
      <c r="I720" t="s">
        <v>14</v>
      </c>
      <c r="J720" t="s">
        <v>14</v>
      </c>
    </row>
    <row r="721" spans="1:10">
      <c r="A721" t="s">
        <v>1006</v>
      </c>
      <c r="B721" t="s">
        <v>979</v>
      </c>
      <c r="C721" t="s">
        <v>1007</v>
      </c>
      <c r="D721" s="1">
        <v>20.69</v>
      </c>
      <c r="E721" s="2">
        <v>4.55</v>
      </c>
      <c r="F721" s="2">
        <v>94.14</v>
      </c>
      <c r="G721" t="s">
        <v>981</v>
      </c>
      <c r="H721">
        <f ca="1">IF(94.14&lt;&gt;94.14,0,0)</f>
        <v>0</v>
      </c>
      <c r="I721" t="s">
        <v>14</v>
      </c>
      <c r="J721" t="s">
        <v>14</v>
      </c>
    </row>
    <row r="722" spans="1:10">
      <c r="A722" t="s">
        <v>1008</v>
      </c>
      <c r="B722" t="s">
        <v>979</v>
      </c>
      <c r="C722" t="s">
        <v>224</v>
      </c>
      <c r="D722" s="1">
        <v>20.62</v>
      </c>
      <c r="E722" s="2">
        <v>4.55</v>
      </c>
      <c r="F722" s="2">
        <v>93.82</v>
      </c>
      <c r="G722" t="s">
        <v>981</v>
      </c>
      <c r="H722">
        <f ca="1">IF(93.82&lt;&gt;93.82,0,0)</f>
        <v>0</v>
      </c>
      <c r="I722" t="s">
        <v>14</v>
      </c>
      <c r="J722" t="s">
        <v>14</v>
      </c>
    </row>
    <row r="723" spans="1:10">
      <c r="A723" t="s">
        <v>1009</v>
      </c>
      <c r="B723" t="s">
        <v>979</v>
      </c>
      <c r="C723" t="s">
        <v>284</v>
      </c>
      <c r="D723" s="1">
        <v>20.7</v>
      </c>
      <c r="E723" s="2">
        <v>5.15</v>
      </c>
      <c r="F723" s="2">
        <v>106.61</v>
      </c>
      <c r="G723" t="s">
        <v>981</v>
      </c>
      <c r="H723">
        <f ca="1">IF(106.61&lt;&gt;106.6,0.010000000000005116,0)</f>
        <v>0</v>
      </c>
      <c r="I723" t="s">
        <v>14</v>
      </c>
      <c r="J723" t="s">
        <v>14</v>
      </c>
    </row>
    <row r="724" spans="1:10">
      <c r="A724" t="s">
        <v>1010</v>
      </c>
      <c r="B724" t="s">
        <v>979</v>
      </c>
      <c r="C724" t="s">
        <v>209</v>
      </c>
      <c r="D724" s="1">
        <v>20.7</v>
      </c>
      <c r="E724" s="2">
        <v>4.55</v>
      </c>
      <c r="F724" s="2">
        <v>94.19</v>
      </c>
      <c r="G724" t="s">
        <v>981</v>
      </c>
      <c r="H724">
        <f ca="1">IF(94.19&lt;&gt;94.18,0.009999999999990905,0)</f>
        <v>0</v>
      </c>
      <c r="I724" t="s">
        <v>14</v>
      </c>
      <c r="J724" t="s">
        <v>14</v>
      </c>
    </row>
    <row r="725" spans="1:10">
      <c r="A725" t="s">
        <v>1011</v>
      </c>
      <c r="B725" t="s">
        <v>979</v>
      </c>
      <c r="C725" t="s">
        <v>217</v>
      </c>
      <c r="D725" s="1">
        <v>20.66</v>
      </c>
      <c r="E725" s="2">
        <v>6.4</v>
      </c>
      <c r="F725" s="2">
        <v>132.22</v>
      </c>
      <c r="G725" t="s">
        <v>981</v>
      </c>
      <c r="H725">
        <f ca="1">IF(132.22&lt;&gt;132.22,0,0)</f>
        <v>0</v>
      </c>
      <c r="I725" t="s">
        <v>14</v>
      </c>
      <c r="J725" t="s">
        <v>14</v>
      </c>
    </row>
    <row r="726" spans="1:10">
      <c r="A726" t="s">
        <v>1012</v>
      </c>
      <c r="B726" t="s">
        <v>979</v>
      </c>
      <c r="C726" t="s">
        <v>1013</v>
      </c>
      <c r="D726" s="1">
        <v>20.7</v>
      </c>
      <c r="E726" s="2">
        <v>3.7</v>
      </c>
      <c r="F726" s="2">
        <v>76.59</v>
      </c>
      <c r="G726" t="s">
        <v>981</v>
      </c>
      <c r="H726">
        <f ca="1">IF(76.59&lt;&gt;76.59,0,0)</f>
        <v>0</v>
      </c>
      <c r="I726" t="s">
        <v>14</v>
      </c>
      <c r="J726" t="s">
        <v>14</v>
      </c>
    </row>
    <row r="727" spans="1:10">
      <c r="A727" t="s">
        <v>1014</v>
      </c>
      <c r="B727" t="s">
        <v>979</v>
      </c>
      <c r="C727" t="s">
        <v>515</v>
      </c>
      <c r="D727" s="1">
        <v>20.69</v>
      </c>
      <c r="E727" s="2">
        <v>6.2</v>
      </c>
      <c r="F727" s="2">
        <v>128.28</v>
      </c>
      <c r="G727" t="s">
        <v>981</v>
      </c>
      <c r="H727">
        <f ca="1">IF(128.28&lt;&gt;128.28,0,0)</f>
        <v>0</v>
      </c>
      <c r="I727" t="s">
        <v>14</v>
      </c>
      <c r="J727" t="s">
        <v>14</v>
      </c>
    </row>
    <row r="728" spans="1:10">
      <c r="A728" t="s">
        <v>1015</v>
      </c>
      <c r="B728" t="s">
        <v>979</v>
      </c>
      <c r="C728" t="s">
        <v>224</v>
      </c>
      <c r="D728" s="1">
        <v>20.66</v>
      </c>
      <c r="E728" s="2">
        <v>4.55</v>
      </c>
      <c r="F728" s="2">
        <v>94</v>
      </c>
      <c r="G728" t="s">
        <v>981</v>
      </c>
      <c r="H728">
        <f ca="1">IF(94&lt;&gt;94,0,0)</f>
        <v>0</v>
      </c>
      <c r="I728" t="s">
        <v>14</v>
      </c>
      <c r="J728" t="s">
        <v>14</v>
      </c>
    </row>
    <row r="729" spans="1:10">
      <c r="A729" t="s">
        <v>1016</v>
      </c>
      <c r="B729" t="s">
        <v>979</v>
      </c>
      <c r="C729" t="s">
        <v>248</v>
      </c>
      <c r="D729" s="1">
        <v>20.79</v>
      </c>
      <c r="E729" s="2">
        <v>5.95</v>
      </c>
      <c r="F729" s="2">
        <v>123.7</v>
      </c>
      <c r="G729" t="s">
        <v>981</v>
      </c>
      <c r="H729">
        <f ca="1">IF(123.7&lt;&gt;123.7,0,0)</f>
        <v>0</v>
      </c>
      <c r="I729" t="s">
        <v>14</v>
      </c>
      <c r="J729" t="s">
        <v>14</v>
      </c>
    </row>
    <row r="730" spans="1:10">
      <c r="A730" t="s">
        <v>1017</v>
      </c>
      <c r="B730" t="s">
        <v>979</v>
      </c>
      <c r="C730" t="s">
        <v>217</v>
      </c>
      <c r="D730" s="1">
        <v>20.64</v>
      </c>
      <c r="E730" s="2">
        <v>6.4</v>
      </c>
      <c r="F730" s="2">
        <v>132.1</v>
      </c>
      <c r="G730" t="s">
        <v>981</v>
      </c>
      <c r="H730">
        <f ca="1">IF(132.1&lt;&gt;132.1,0,0)</f>
        <v>0</v>
      </c>
      <c r="I730" t="s">
        <v>14</v>
      </c>
      <c r="J730" t="s">
        <v>14</v>
      </c>
    </row>
    <row r="731" spans="1:10">
      <c r="A731" t="s">
        <v>1018</v>
      </c>
      <c r="B731" t="s">
        <v>979</v>
      </c>
      <c r="C731" t="s">
        <v>221</v>
      </c>
      <c r="D731" s="1">
        <v>20.67</v>
      </c>
      <c r="E731" s="2">
        <v>4.4</v>
      </c>
      <c r="F731" s="2">
        <v>90.95</v>
      </c>
      <c r="G731" t="s">
        <v>981</v>
      </c>
      <c r="H731">
        <f ca="1">IF(90.95&lt;&gt;90.95,0,0)</f>
        <v>0</v>
      </c>
      <c r="I731" t="s">
        <v>14</v>
      </c>
      <c r="J731" t="s">
        <v>14</v>
      </c>
    </row>
    <row r="732" spans="1:10">
      <c r="A732" t="s">
        <v>1019</v>
      </c>
      <c r="B732" t="s">
        <v>979</v>
      </c>
      <c r="C732" t="s">
        <v>1020</v>
      </c>
      <c r="D732" s="1">
        <v>20.58</v>
      </c>
      <c r="E732" s="2">
        <v>5.45</v>
      </c>
      <c r="F732" s="2">
        <v>112.16</v>
      </c>
      <c r="G732" t="s">
        <v>981</v>
      </c>
      <c r="H732">
        <f ca="1">IF(112.16&lt;&gt;112.16,0,0)</f>
        <v>0</v>
      </c>
      <c r="I732" t="s">
        <v>14</v>
      </c>
      <c r="J732" t="s">
        <v>14</v>
      </c>
    </row>
    <row r="733" spans="1:10">
      <c r="A733" t="s">
        <v>1021</v>
      </c>
      <c r="B733" t="s">
        <v>979</v>
      </c>
      <c r="C733" t="s">
        <v>295</v>
      </c>
      <c r="D733" s="1">
        <v>20.67</v>
      </c>
      <c r="E733" s="2">
        <v>4.55</v>
      </c>
      <c r="F733" s="2">
        <v>94.05</v>
      </c>
      <c r="G733" t="s">
        <v>981</v>
      </c>
      <c r="H733">
        <f ca="1">IF(94.05&lt;&gt;94.05,0,0)</f>
        <v>0</v>
      </c>
      <c r="I733" t="s">
        <v>14</v>
      </c>
      <c r="J733" t="s">
        <v>14</v>
      </c>
    </row>
    <row r="734" spans="1:10">
      <c r="A734" t="s">
        <v>1022</v>
      </c>
      <c r="B734" t="s">
        <v>979</v>
      </c>
      <c r="C734" t="s">
        <v>224</v>
      </c>
      <c r="D734" s="1">
        <v>20.69</v>
      </c>
      <c r="E734" s="2">
        <v>4.55</v>
      </c>
      <c r="F734" s="2">
        <v>94.14</v>
      </c>
      <c r="G734" t="s">
        <v>981</v>
      </c>
      <c r="H734">
        <f ca="1">IF(94.14&lt;&gt;94.14,0,0)</f>
        <v>0</v>
      </c>
      <c r="I734" t="s">
        <v>14</v>
      </c>
      <c r="J734" t="s">
        <v>14</v>
      </c>
    </row>
    <row r="735" spans="1:10">
      <c r="A735" t="s">
        <v>1023</v>
      </c>
      <c r="B735" t="s">
        <v>979</v>
      </c>
      <c r="C735" t="s">
        <v>224</v>
      </c>
      <c r="D735" s="1">
        <v>20.66</v>
      </c>
      <c r="E735" s="2">
        <v>4.55</v>
      </c>
      <c r="F735" s="2">
        <v>94</v>
      </c>
      <c r="G735" t="s">
        <v>981</v>
      </c>
      <c r="H735">
        <f ca="1">IF(94&lt;&gt;94,0,0)</f>
        <v>0</v>
      </c>
      <c r="I735" t="s">
        <v>14</v>
      </c>
      <c r="J735" t="s">
        <v>14</v>
      </c>
    </row>
    <row r="736" spans="1:10">
      <c r="A736" t="s">
        <v>1024</v>
      </c>
      <c r="B736" t="s">
        <v>979</v>
      </c>
      <c r="C736" t="s">
        <v>217</v>
      </c>
      <c r="D736" s="1">
        <v>20.71</v>
      </c>
      <c r="E736" s="2">
        <v>6.4</v>
      </c>
      <c r="F736" s="2">
        <v>132.54</v>
      </c>
      <c r="G736" t="s">
        <v>981</v>
      </c>
      <c r="H736">
        <f ca="1">IF(132.54&lt;&gt;132.54,0,0)</f>
        <v>0</v>
      </c>
      <c r="I736" t="s">
        <v>14</v>
      </c>
      <c r="J736" t="s">
        <v>14</v>
      </c>
    </row>
    <row r="737" spans="1:10">
      <c r="A737" t="s">
        <v>1025</v>
      </c>
      <c r="B737" t="s">
        <v>979</v>
      </c>
      <c r="C737" t="s">
        <v>253</v>
      </c>
      <c r="D737" s="1">
        <v>20.73</v>
      </c>
      <c r="E737" s="2">
        <v>5.95</v>
      </c>
      <c r="F737" s="2">
        <v>123.34</v>
      </c>
      <c r="G737" t="s">
        <v>981</v>
      </c>
      <c r="H737">
        <f ca="1">IF(123.34&lt;&gt;123.34,0,0)</f>
        <v>0</v>
      </c>
      <c r="I737" t="s">
        <v>14</v>
      </c>
      <c r="J737" t="s">
        <v>14</v>
      </c>
    </row>
    <row r="738" spans="1:10">
      <c r="A738" t="s">
        <v>1026</v>
      </c>
      <c r="B738" t="s">
        <v>979</v>
      </c>
      <c r="C738" t="s">
        <v>221</v>
      </c>
      <c r="D738" s="1">
        <v>20.71</v>
      </c>
      <c r="E738" s="2">
        <v>4.4</v>
      </c>
      <c r="F738" s="2">
        <v>91.12</v>
      </c>
      <c r="G738" t="s">
        <v>981</v>
      </c>
      <c r="H738">
        <f ca="1">IF(91.12&lt;&gt;91.12,0,0)</f>
        <v>0</v>
      </c>
      <c r="I738" t="s">
        <v>14</v>
      </c>
      <c r="J738" t="s">
        <v>14</v>
      </c>
    </row>
    <row r="739" spans="1:10">
      <c r="A739" t="s">
        <v>1027</v>
      </c>
      <c r="B739" t="s">
        <v>1028</v>
      </c>
      <c r="C739" t="s">
        <v>302</v>
      </c>
      <c r="D739" s="1">
        <v>18.37</v>
      </c>
      <c r="E739" s="2">
        <v>4.2</v>
      </c>
      <c r="F739" s="2">
        <v>77.15</v>
      </c>
      <c r="G739" t="s">
        <v>1029</v>
      </c>
      <c r="H739">
        <f ca="1">IF(77.15&lt;&gt;77.15,0,0)</f>
        <v>0</v>
      </c>
      <c r="I739" t="s">
        <v>14</v>
      </c>
      <c r="J739" t="s">
        <v>14</v>
      </c>
    </row>
    <row r="740" spans="1:10">
      <c r="A740" t="s">
        <v>1030</v>
      </c>
      <c r="B740" t="s">
        <v>1028</v>
      </c>
      <c r="C740" t="s">
        <v>318</v>
      </c>
      <c r="D740" s="1">
        <v>18.38</v>
      </c>
      <c r="E740" s="2">
        <v>4.2</v>
      </c>
      <c r="F740" s="2">
        <v>77.2</v>
      </c>
      <c r="G740" t="s">
        <v>1029</v>
      </c>
      <c r="H740">
        <f ca="1">IF(77.2&lt;&gt;77.2,0,0)</f>
        <v>0</v>
      </c>
      <c r="I740" t="s">
        <v>14</v>
      </c>
      <c r="J740" t="s">
        <v>14</v>
      </c>
    </row>
    <row r="741" spans="1:10">
      <c r="A741" t="s">
        <v>1031</v>
      </c>
      <c r="B741" t="s">
        <v>1028</v>
      </c>
      <c r="C741" t="s">
        <v>339</v>
      </c>
      <c r="D741" s="1">
        <v>18.37</v>
      </c>
      <c r="E741" s="2">
        <v>4.2</v>
      </c>
      <c r="F741" s="2">
        <v>77.15</v>
      </c>
      <c r="G741" t="s">
        <v>1029</v>
      </c>
      <c r="H741">
        <f ca="1">IF(77.15&lt;&gt;77.15,0,0)</f>
        <v>0</v>
      </c>
      <c r="I741" t="s">
        <v>14</v>
      </c>
      <c r="J741" t="s">
        <v>14</v>
      </c>
    </row>
    <row r="742" spans="1:10">
      <c r="A742" t="s">
        <v>1032</v>
      </c>
      <c r="B742" t="s">
        <v>1028</v>
      </c>
      <c r="C742" t="s">
        <v>679</v>
      </c>
      <c r="D742" s="1">
        <v>18.33</v>
      </c>
      <c r="E742" s="2">
        <v>3.7</v>
      </c>
      <c r="F742" s="2">
        <v>67.82</v>
      </c>
      <c r="G742" t="s">
        <v>1029</v>
      </c>
      <c r="H742">
        <f ca="1">IF(67.82&lt;&gt;67.82,0,0)</f>
        <v>0</v>
      </c>
      <c r="I742" t="s">
        <v>14</v>
      </c>
      <c r="J742" t="s">
        <v>14</v>
      </c>
    </row>
    <row r="743" spans="1:10">
      <c r="A743" t="s">
        <v>1033</v>
      </c>
      <c r="B743" t="s">
        <v>1028</v>
      </c>
      <c r="C743" t="s">
        <v>1034</v>
      </c>
      <c r="D743" s="1">
        <v>18.35</v>
      </c>
      <c r="E743" s="2">
        <v>5.45</v>
      </c>
      <c r="F743" s="2">
        <v>100.01</v>
      </c>
      <c r="G743" t="s">
        <v>1029</v>
      </c>
      <c r="H743">
        <f ca="1">IF(100.01&lt;&gt;100.01,0,0)</f>
        <v>0</v>
      </c>
      <c r="I743" t="s">
        <v>14</v>
      </c>
      <c r="J743" t="s">
        <v>14</v>
      </c>
    </row>
    <row r="744" spans="1:10">
      <c r="A744" t="s">
        <v>1035</v>
      </c>
      <c r="B744" t="s">
        <v>1036</v>
      </c>
      <c r="C744" t="s">
        <v>47</v>
      </c>
      <c r="D744" s="1">
        <v>21.28</v>
      </c>
      <c r="E744" s="2">
        <v>6.2</v>
      </c>
      <c r="F744" s="2">
        <v>131.94</v>
      </c>
      <c r="G744" t="s">
        <v>1037</v>
      </c>
      <c r="H744">
        <f ca="1">IF(131.94&lt;&gt;131.94,0,0)</f>
        <v>0</v>
      </c>
      <c r="I744" t="s">
        <v>14</v>
      </c>
      <c r="J744" t="s">
        <v>14</v>
      </c>
    </row>
    <row r="745" spans="1:10">
      <c r="A745" t="s">
        <v>1038</v>
      </c>
      <c r="B745" t="s">
        <v>1036</v>
      </c>
      <c r="C745" t="s">
        <v>22</v>
      </c>
      <c r="D745" s="1">
        <v>21.24</v>
      </c>
      <c r="E745" s="2">
        <v>4.2</v>
      </c>
      <c r="F745" s="2">
        <v>89.21</v>
      </c>
      <c r="G745" t="s">
        <v>1037</v>
      </c>
      <c r="H745">
        <f ca="1">IF(89.21&lt;&gt;89.21,0,0)</f>
        <v>0</v>
      </c>
      <c r="I745" t="s">
        <v>14</v>
      </c>
      <c r="J745" t="s">
        <v>14</v>
      </c>
    </row>
    <row r="746" spans="1:10">
      <c r="A746" t="s">
        <v>1039</v>
      </c>
      <c r="B746" t="s">
        <v>1036</v>
      </c>
      <c r="C746" t="s">
        <v>59</v>
      </c>
      <c r="D746" s="1">
        <v>21.38</v>
      </c>
      <c r="E746" s="2">
        <v>5.15</v>
      </c>
      <c r="F746" s="2">
        <v>110.11</v>
      </c>
      <c r="G746" t="s">
        <v>1037</v>
      </c>
      <c r="H746">
        <f ca="1">IF(110.11&lt;&gt;110.11,0,0)</f>
        <v>0</v>
      </c>
      <c r="I746" t="s">
        <v>14</v>
      </c>
      <c r="J746" t="s">
        <v>14</v>
      </c>
    </row>
    <row r="747" spans="1:10">
      <c r="A747" t="s">
        <v>1040</v>
      </c>
      <c r="B747" t="s">
        <v>1036</v>
      </c>
      <c r="C747" t="s">
        <v>59</v>
      </c>
      <c r="D747" s="1">
        <v>21.32</v>
      </c>
      <c r="E747" s="2">
        <v>5.15</v>
      </c>
      <c r="F747" s="2">
        <v>109.8</v>
      </c>
      <c r="G747" t="s">
        <v>1037</v>
      </c>
      <c r="H747">
        <f ca="1">IF(109.8&lt;&gt;109.8,0,0)</f>
        <v>0</v>
      </c>
      <c r="I747" t="s">
        <v>14</v>
      </c>
      <c r="J747" t="s">
        <v>14</v>
      </c>
    </row>
    <row r="748" spans="1:10">
      <c r="A748" t="s">
        <v>1041</v>
      </c>
      <c r="B748" t="s">
        <v>1036</v>
      </c>
      <c r="C748" t="s">
        <v>25</v>
      </c>
      <c r="D748" s="1">
        <v>21.38</v>
      </c>
      <c r="E748" s="2">
        <v>5.95</v>
      </c>
      <c r="F748" s="2">
        <v>127.21</v>
      </c>
      <c r="G748" t="s">
        <v>1037</v>
      </c>
      <c r="H748">
        <f ca="1">IF(127.21&lt;&gt;127.21,0,0)</f>
        <v>0</v>
      </c>
      <c r="I748" t="s">
        <v>14</v>
      </c>
      <c r="J748" t="s">
        <v>14</v>
      </c>
    </row>
    <row r="749" spans="1:10">
      <c r="A749" t="s">
        <v>1042</v>
      </c>
      <c r="B749" t="s">
        <v>1036</v>
      </c>
      <c r="C749" t="s">
        <v>29</v>
      </c>
      <c r="D749" s="1">
        <v>21.33</v>
      </c>
      <c r="E749" s="2">
        <v>4.55</v>
      </c>
      <c r="F749" s="2">
        <v>97.05</v>
      </c>
      <c r="G749" t="s">
        <v>1037</v>
      </c>
      <c r="H749">
        <f ca="1">IF(97.05&lt;&gt;97.05,0,0)</f>
        <v>0</v>
      </c>
      <c r="I749" t="s">
        <v>14</v>
      </c>
      <c r="J749" t="s">
        <v>14</v>
      </c>
    </row>
    <row r="750" spans="1:10">
      <c r="A750" t="s">
        <v>1043</v>
      </c>
      <c r="B750" t="s">
        <v>1036</v>
      </c>
      <c r="C750" t="s">
        <v>12</v>
      </c>
      <c r="D750" s="1">
        <v>21.25</v>
      </c>
      <c r="E750" s="2">
        <v>4.2</v>
      </c>
      <c r="F750" s="2">
        <v>89.25</v>
      </c>
      <c r="G750" t="s">
        <v>1037</v>
      </c>
      <c r="H750">
        <f ca="1">IF(89.25&lt;&gt;89.25,0,0)</f>
        <v>0</v>
      </c>
      <c r="I750" t="s">
        <v>14</v>
      </c>
      <c r="J750" t="s">
        <v>14</v>
      </c>
    </row>
    <row r="751" spans="1:10">
      <c r="A751" t="s">
        <v>1044</v>
      </c>
      <c r="B751" t="s">
        <v>1036</v>
      </c>
      <c r="C751" t="s">
        <v>25</v>
      </c>
      <c r="D751" s="1">
        <v>21.23</v>
      </c>
      <c r="E751" s="2">
        <v>5.95</v>
      </c>
      <c r="F751" s="2">
        <v>126.32</v>
      </c>
      <c r="G751" t="s">
        <v>1037</v>
      </c>
      <c r="H751">
        <f ca="1">IF(126.32&lt;&gt;126.32,0,0)</f>
        <v>0</v>
      </c>
      <c r="I751" t="s">
        <v>14</v>
      </c>
      <c r="J751" t="s">
        <v>14</v>
      </c>
    </row>
    <row r="752" spans="1:10">
      <c r="A752" t="s">
        <v>1045</v>
      </c>
      <c r="B752" t="s">
        <v>1036</v>
      </c>
      <c r="C752" t="s">
        <v>550</v>
      </c>
      <c r="D752" s="1">
        <v>21.26</v>
      </c>
      <c r="E752" s="2">
        <v>5.45</v>
      </c>
      <c r="F752" s="2">
        <v>115.87</v>
      </c>
      <c r="G752" t="s">
        <v>1037</v>
      </c>
      <c r="H752">
        <f ca="1">IF(115.87&lt;&gt;115.87,0,0)</f>
        <v>0</v>
      </c>
      <c r="I752" t="s">
        <v>14</v>
      </c>
      <c r="J752" t="s">
        <v>14</v>
      </c>
    </row>
    <row r="753" spans="1:10">
      <c r="A753" t="s">
        <v>1046</v>
      </c>
      <c r="B753" t="s">
        <v>1036</v>
      </c>
      <c r="C753" t="s">
        <v>34</v>
      </c>
      <c r="D753" s="1">
        <v>21.26</v>
      </c>
      <c r="E753" s="2">
        <v>4.95</v>
      </c>
      <c r="F753" s="2">
        <v>105.24</v>
      </c>
      <c r="G753" t="s">
        <v>1037</v>
      </c>
      <c r="H753">
        <f ca="1">IF(105.24&lt;&gt;105.24,0,0)</f>
        <v>0</v>
      </c>
      <c r="I753" t="s">
        <v>14</v>
      </c>
      <c r="J753" t="s">
        <v>14</v>
      </c>
    </row>
    <row r="754" spans="1:10">
      <c r="A754" t="s">
        <v>1047</v>
      </c>
      <c r="B754" t="s">
        <v>1036</v>
      </c>
      <c r="C754" t="s">
        <v>56</v>
      </c>
      <c r="D754" s="1">
        <v>21.29</v>
      </c>
      <c r="E754" s="2">
        <v>5.45</v>
      </c>
      <c r="F754" s="2">
        <v>116.03</v>
      </c>
      <c r="G754" t="s">
        <v>1037</v>
      </c>
      <c r="H754">
        <f ca="1">IF(116.03&lt;&gt;116.03,0,0)</f>
        <v>0</v>
      </c>
      <c r="I754" t="s">
        <v>14</v>
      </c>
      <c r="J754" t="s">
        <v>14</v>
      </c>
    </row>
    <row r="755" spans="1:10">
      <c r="A755" t="s">
        <v>1048</v>
      </c>
      <c r="B755" t="s">
        <v>1036</v>
      </c>
      <c r="C755" t="s">
        <v>29</v>
      </c>
      <c r="D755" s="1">
        <v>21.33</v>
      </c>
      <c r="E755" s="2">
        <v>4.55</v>
      </c>
      <c r="F755" s="2">
        <v>97.05</v>
      </c>
      <c r="G755" t="s">
        <v>1037</v>
      </c>
      <c r="H755">
        <f ca="1">IF(97.05&lt;&gt;97.05,0,0)</f>
        <v>0</v>
      </c>
      <c r="I755" t="s">
        <v>14</v>
      </c>
      <c r="J755" t="s">
        <v>14</v>
      </c>
    </row>
    <row r="756" spans="1:10">
      <c r="A756" t="s">
        <v>1049</v>
      </c>
      <c r="B756" t="s">
        <v>1036</v>
      </c>
      <c r="C756" t="s">
        <v>16</v>
      </c>
      <c r="D756" s="1">
        <v>21.37</v>
      </c>
      <c r="E756" s="2">
        <v>4.55</v>
      </c>
      <c r="F756" s="2">
        <v>97.23</v>
      </c>
      <c r="G756" t="s">
        <v>1037</v>
      </c>
      <c r="H756">
        <f ca="1">IF(97.23&lt;&gt;97.23,0,0)</f>
        <v>0</v>
      </c>
      <c r="I756" t="s">
        <v>14</v>
      </c>
      <c r="J756" t="s">
        <v>14</v>
      </c>
    </row>
    <row r="757" spans="1:10">
      <c r="A757" t="s">
        <v>1050</v>
      </c>
      <c r="B757" t="s">
        <v>1036</v>
      </c>
      <c r="C757" t="s">
        <v>29</v>
      </c>
      <c r="D757" s="1">
        <v>21.3</v>
      </c>
      <c r="E757" s="2">
        <v>4.55</v>
      </c>
      <c r="F757" s="2">
        <v>96.92</v>
      </c>
      <c r="G757" t="s">
        <v>1037</v>
      </c>
      <c r="H757">
        <f ca="1">IF(96.92&lt;&gt;96.92,0,0)</f>
        <v>0</v>
      </c>
      <c r="I757" t="s">
        <v>14</v>
      </c>
      <c r="J757" t="s">
        <v>14</v>
      </c>
    </row>
    <row r="758" spans="1:10">
      <c r="A758" t="s">
        <v>1051</v>
      </c>
      <c r="B758" t="s">
        <v>1036</v>
      </c>
      <c r="C758" t="s">
        <v>1052</v>
      </c>
      <c r="D758" s="1">
        <v>21.32</v>
      </c>
      <c r="E758" s="2">
        <v>6.95</v>
      </c>
      <c r="F758" s="2">
        <v>148.17</v>
      </c>
      <c r="G758" t="s">
        <v>1037</v>
      </c>
      <c r="H758">
        <f ca="1">IF(148.17&lt;&gt;148.17,0,0)</f>
        <v>0</v>
      </c>
      <c r="I758" t="s">
        <v>14</v>
      </c>
      <c r="J758" t="s">
        <v>14</v>
      </c>
    </row>
    <row r="759" spans="1:10">
      <c r="A759" t="s">
        <v>1053</v>
      </c>
      <c r="B759" t="s">
        <v>1036</v>
      </c>
      <c r="C759" t="s">
        <v>29</v>
      </c>
      <c r="D759" s="1">
        <v>21.39</v>
      </c>
      <c r="E759" s="2">
        <v>4.55</v>
      </c>
      <c r="F759" s="2">
        <v>97.32</v>
      </c>
      <c r="G759" t="s">
        <v>1037</v>
      </c>
      <c r="H759">
        <f ca="1">IF(97.32&lt;&gt;97.32,0,0)</f>
        <v>0</v>
      </c>
      <c r="I759" t="s">
        <v>14</v>
      </c>
      <c r="J759" t="s">
        <v>14</v>
      </c>
    </row>
    <row r="760" spans="1:10">
      <c r="A760" t="s">
        <v>1054</v>
      </c>
      <c r="B760" t="s">
        <v>1055</v>
      </c>
      <c r="C760" t="s">
        <v>22</v>
      </c>
      <c r="D760" s="1">
        <v>16.1</v>
      </c>
      <c r="E760" s="2">
        <v>4.2</v>
      </c>
      <c r="F760" s="2">
        <v>67.62</v>
      </c>
      <c r="G760" t="s">
        <v>1056</v>
      </c>
      <c r="H760">
        <f ca="1">IF(67.62&lt;&gt;67.62,0,0)</f>
        <v>0</v>
      </c>
      <c r="I760" t="s">
        <v>14</v>
      </c>
      <c r="J760" t="s">
        <v>14</v>
      </c>
    </row>
    <row r="761" spans="1:10">
      <c r="A761" t="s">
        <v>1057</v>
      </c>
      <c r="B761" t="s">
        <v>1055</v>
      </c>
      <c r="C761" t="s">
        <v>31</v>
      </c>
      <c r="D761" s="1">
        <v>16.21</v>
      </c>
      <c r="E761" s="2">
        <v>4.55</v>
      </c>
      <c r="F761" s="2">
        <v>73.76</v>
      </c>
      <c r="G761" t="s">
        <v>1056</v>
      </c>
      <c r="H761">
        <f ca="1">IF(73.76&lt;&gt;73.76,0,0)</f>
        <v>0</v>
      </c>
      <c r="I761" t="s">
        <v>14</v>
      </c>
      <c r="J761" t="s">
        <v>14</v>
      </c>
    </row>
    <row r="762" spans="1:10">
      <c r="A762" t="s">
        <v>1058</v>
      </c>
      <c r="B762" t="s">
        <v>1055</v>
      </c>
      <c r="C762" t="s">
        <v>64</v>
      </c>
      <c r="D762" s="1">
        <v>16.08</v>
      </c>
      <c r="E762" s="2">
        <v>13</v>
      </c>
      <c r="F762" s="2">
        <v>209.04</v>
      </c>
      <c r="G762" t="s">
        <v>1056</v>
      </c>
      <c r="H762">
        <f ca="1">IF(209.04&lt;&gt;209.04,0,0)</f>
        <v>0</v>
      </c>
      <c r="I762" t="s">
        <v>14</v>
      </c>
      <c r="J762" t="s">
        <v>14</v>
      </c>
    </row>
    <row r="763" spans="1:10">
      <c r="A763" t="s">
        <v>1059</v>
      </c>
      <c r="B763" t="s">
        <v>1055</v>
      </c>
      <c r="C763" t="s">
        <v>25</v>
      </c>
      <c r="D763" s="1">
        <v>17.35</v>
      </c>
      <c r="E763" s="2">
        <v>5.95</v>
      </c>
      <c r="F763" s="2">
        <v>103.23</v>
      </c>
      <c r="G763" t="s">
        <v>1056</v>
      </c>
      <c r="H763">
        <f ca="1">IF(103.23&lt;&gt;103.23,0,0)</f>
        <v>0</v>
      </c>
      <c r="I763" t="s">
        <v>14</v>
      </c>
      <c r="J763" t="s">
        <v>14</v>
      </c>
    </row>
    <row r="764" spans="1:10">
      <c r="A764" t="s">
        <v>1060</v>
      </c>
      <c r="B764" t="s">
        <v>1055</v>
      </c>
      <c r="C764" t="s">
        <v>59</v>
      </c>
      <c r="D764" s="1">
        <v>16.88</v>
      </c>
      <c r="E764" s="2">
        <v>5.15</v>
      </c>
      <c r="F764" s="2">
        <v>86.93</v>
      </c>
      <c r="G764" t="s">
        <v>1056</v>
      </c>
      <c r="H764">
        <f ca="1">IF(86.93&lt;&gt;86.93,0,0)</f>
        <v>0</v>
      </c>
      <c r="I764" t="s">
        <v>14</v>
      </c>
      <c r="J764" t="s">
        <v>14</v>
      </c>
    </row>
    <row r="765" spans="1:10">
      <c r="A765" t="s">
        <v>1061</v>
      </c>
      <c r="B765" t="s">
        <v>1055</v>
      </c>
      <c r="C765" t="s">
        <v>59</v>
      </c>
      <c r="D765" s="1">
        <v>17.35</v>
      </c>
      <c r="E765" s="2">
        <v>5.15</v>
      </c>
      <c r="F765" s="2">
        <v>89.35</v>
      </c>
      <c r="G765" t="s">
        <v>1056</v>
      </c>
      <c r="H765">
        <f ca="1">IF(89.35&lt;&gt;89.35,0,0)</f>
        <v>0</v>
      </c>
      <c r="I765" t="s">
        <v>14</v>
      </c>
      <c r="J765" t="s">
        <v>14</v>
      </c>
    </row>
    <row r="766" spans="1:10">
      <c r="A766" t="s">
        <v>1062</v>
      </c>
      <c r="B766" t="s">
        <v>1055</v>
      </c>
      <c r="C766" t="s">
        <v>12</v>
      </c>
      <c r="D766" s="1">
        <v>17.18</v>
      </c>
      <c r="E766" s="2">
        <v>4.2</v>
      </c>
      <c r="F766" s="2">
        <v>72.16</v>
      </c>
      <c r="G766" t="s">
        <v>1056</v>
      </c>
      <c r="H766">
        <f ca="1">IF(72.16&lt;&gt;72.16,0,0)</f>
        <v>0</v>
      </c>
      <c r="I766" t="s">
        <v>14</v>
      </c>
      <c r="J766" t="s">
        <v>14</v>
      </c>
    </row>
    <row r="767" spans="1:10">
      <c r="A767" t="s">
        <v>1063</v>
      </c>
      <c r="B767" t="s">
        <v>1055</v>
      </c>
      <c r="C767" t="s">
        <v>64</v>
      </c>
      <c r="D767" s="1">
        <v>16.71</v>
      </c>
      <c r="E767" s="2">
        <v>13</v>
      </c>
      <c r="F767" s="2">
        <v>217.23</v>
      </c>
      <c r="G767" t="s">
        <v>1056</v>
      </c>
      <c r="H767">
        <f ca="1">IF(217.23&lt;&gt;217.23,0,0)</f>
        <v>0</v>
      </c>
      <c r="I767" t="s">
        <v>14</v>
      </c>
      <c r="J767" t="s">
        <v>14</v>
      </c>
    </row>
    <row r="768" spans="1:10">
      <c r="A768" t="s">
        <v>1064</v>
      </c>
      <c r="B768" t="s">
        <v>1055</v>
      </c>
      <c r="C768" t="s">
        <v>20</v>
      </c>
      <c r="D768" s="1">
        <v>16.88</v>
      </c>
      <c r="E768" s="2">
        <v>5.45</v>
      </c>
      <c r="F768" s="2">
        <v>92</v>
      </c>
      <c r="G768" t="s">
        <v>1056</v>
      </c>
      <c r="H768">
        <f ca="1">IF(92&lt;&gt;92,0,0)</f>
        <v>0</v>
      </c>
      <c r="I768" t="s">
        <v>14</v>
      </c>
      <c r="J768" t="s">
        <v>14</v>
      </c>
    </row>
    <row r="769" spans="1:10">
      <c r="A769" t="s">
        <v>1065</v>
      </c>
      <c r="B769" t="s">
        <v>1055</v>
      </c>
      <c r="C769" t="s">
        <v>50</v>
      </c>
      <c r="D769" s="1">
        <v>16.77</v>
      </c>
      <c r="E769" s="2">
        <v>6.2</v>
      </c>
      <c r="F769" s="2">
        <v>103.97</v>
      </c>
      <c r="G769" t="s">
        <v>1056</v>
      </c>
      <c r="H769">
        <f ca="1">IF(103.97&lt;&gt;103.97,0,0)</f>
        <v>0</v>
      </c>
      <c r="I769" t="s">
        <v>14</v>
      </c>
      <c r="J769" t="s">
        <v>14</v>
      </c>
    </row>
    <row r="770" spans="1:10">
      <c r="A770" t="s">
        <v>1066</v>
      </c>
      <c r="B770" t="s">
        <v>1055</v>
      </c>
      <c r="C770" t="s">
        <v>59</v>
      </c>
      <c r="D770" s="1">
        <v>16.89</v>
      </c>
      <c r="E770" s="2">
        <v>5.15</v>
      </c>
      <c r="F770" s="2">
        <v>86.98</v>
      </c>
      <c r="G770" t="s">
        <v>1056</v>
      </c>
      <c r="H770">
        <f ca="1">IF(86.98&lt;&gt;86.98,0,0)</f>
        <v>0</v>
      </c>
      <c r="I770" t="s">
        <v>14</v>
      </c>
      <c r="J770" t="s">
        <v>14</v>
      </c>
    </row>
    <row r="771" spans="1:10">
      <c r="A771" t="s">
        <v>1067</v>
      </c>
      <c r="B771" t="s">
        <v>1055</v>
      </c>
      <c r="C771" t="s">
        <v>25</v>
      </c>
      <c r="D771" s="1">
        <v>16.86</v>
      </c>
      <c r="E771" s="2">
        <v>5.95</v>
      </c>
      <c r="F771" s="2">
        <v>100.32</v>
      </c>
      <c r="G771" t="s">
        <v>1056</v>
      </c>
      <c r="H771">
        <f ca="1">IF(100.32&lt;&gt;100.32,0,0)</f>
        <v>0</v>
      </c>
      <c r="I771" t="s">
        <v>14</v>
      </c>
      <c r="J771" t="s">
        <v>14</v>
      </c>
    </row>
    <row r="772" spans="1:10">
      <c r="A772" t="s">
        <v>1068</v>
      </c>
      <c r="B772" t="s">
        <v>1055</v>
      </c>
      <c r="C772" t="s">
        <v>1069</v>
      </c>
      <c r="D772" s="1">
        <v>16.73</v>
      </c>
      <c r="E772" s="2">
        <v>7.25</v>
      </c>
      <c r="F772" s="2">
        <v>121.29</v>
      </c>
      <c r="G772" t="s">
        <v>1056</v>
      </c>
      <c r="H772">
        <f ca="1">IF(121.29&lt;&gt;121.29,0,0)</f>
        <v>0</v>
      </c>
      <c r="I772" t="s">
        <v>14</v>
      </c>
      <c r="J772" t="s">
        <v>14</v>
      </c>
    </row>
    <row r="773" spans="1:10">
      <c r="A773" t="s">
        <v>1070</v>
      </c>
      <c r="B773" t="s">
        <v>1055</v>
      </c>
      <c r="C773" t="s">
        <v>18</v>
      </c>
      <c r="D773" s="1">
        <v>16.68</v>
      </c>
      <c r="E773" s="2">
        <v>5.95</v>
      </c>
      <c r="F773" s="2">
        <v>99.25</v>
      </c>
      <c r="G773" t="s">
        <v>1056</v>
      </c>
      <c r="H773">
        <f ca="1">IF(99.25&lt;&gt;99.25,0,0)</f>
        <v>0</v>
      </c>
      <c r="I773" t="s">
        <v>14</v>
      </c>
      <c r="J773" t="s">
        <v>14</v>
      </c>
    </row>
    <row r="774" spans="1:10">
      <c r="A774" t="s">
        <v>1071</v>
      </c>
      <c r="B774" t="s">
        <v>1055</v>
      </c>
      <c r="C774" t="s">
        <v>22</v>
      </c>
      <c r="D774" s="1">
        <v>16.84</v>
      </c>
      <c r="E774" s="2">
        <v>4.2</v>
      </c>
      <c r="F774" s="2">
        <v>70.73</v>
      </c>
      <c r="G774" t="s">
        <v>1056</v>
      </c>
      <c r="H774">
        <f ca="1">IF(70.73&lt;&gt;70.73,0,0)</f>
        <v>0</v>
      </c>
      <c r="I774" t="s">
        <v>14</v>
      </c>
      <c r="J774" t="s">
        <v>14</v>
      </c>
    </row>
    <row r="775" spans="1:10">
      <c r="A775" t="s">
        <v>1072</v>
      </c>
      <c r="B775" t="s">
        <v>1055</v>
      </c>
      <c r="C775" t="s">
        <v>64</v>
      </c>
      <c r="D775" s="1">
        <v>16.69</v>
      </c>
      <c r="E775" s="2">
        <v>13</v>
      </c>
      <c r="F775" s="2">
        <v>216.97</v>
      </c>
      <c r="G775" t="s">
        <v>1056</v>
      </c>
      <c r="H775">
        <f ca="1">IF(216.97&lt;&gt;216.97,0,0)</f>
        <v>0</v>
      </c>
      <c r="I775" t="s">
        <v>14</v>
      </c>
      <c r="J775" t="s">
        <v>14</v>
      </c>
    </row>
    <row r="776" spans="1:10">
      <c r="A776" t="s">
        <v>1073</v>
      </c>
      <c r="B776" t="s">
        <v>1055</v>
      </c>
      <c r="C776" t="s">
        <v>25</v>
      </c>
      <c r="D776" s="1">
        <v>16.8</v>
      </c>
      <c r="E776" s="2">
        <v>5.95</v>
      </c>
      <c r="F776" s="2">
        <v>99.96</v>
      </c>
      <c r="G776" t="s">
        <v>1056</v>
      </c>
      <c r="H776">
        <f ca="1">IF(99.96&lt;&gt;99.96,0,0)</f>
        <v>0</v>
      </c>
      <c r="I776" t="s">
        <v>14</v>
      </c>
      <c r="J776" t="s">
        <v>14</v>
      </c>
    </row>
    <row r="777" spans="1:10">
      <c r="A777" t="s">
        <v>1074</v>
      </c>
      <c r="B777" t="s">
        <v>1055</v>
      </c>
      <c r="C777" t="s">
        <v>56</v>
      </c>
      <c r="D777" s="1">
        <v>16.71</v>
      </c>
      <c r="E777" s="2">
        <v>5.45</v>
      </c>
      <c r="F777" s="2">
        <v>91.07</v>
      </c>
      <c r="G777" t="s">
        <v>1056</v>
      </c>
      <c r="H777">
        <f ca="1">IF(91.07&lt;&gt;91.07,0,0)</f>
        <v>0</v>
      </c>
      <c r="I777" t="s">
        <v>14</v>
      </c>
      <c r="J777" t="s">
        <v>14</v>
      </c>
    </row>
    <row r="778" spans="1:10">
      <c r="A778" t="s">
        <v>1075</v>
      </c>
      <c r="B778" t="s">
        <v>1055</v>
      </c>
      <c r="C778" t="s">
        <v>50</v>
      </c>
      <c r="D778" s="1">
        <v>16.86</v>
      </c>
      <c r="E778" s="2">
        <v>6.2</v>
      </c>
      <c r="F778" s="2">
        <v>104.53</v>
      </c>
      <c r="G778" t="s">
        <v>1056</v>
      </c>
      <c r="H778">
        <f ca="1">IF(104.53&lt;&gt;104.53,0,0)</f>
        <v>0</v>
      </c>
      <c r="I778" t="s">
        <v>14</v>
      </c>
      <c r="J778" t="s">
        <v>14</v>
      </c>
    </row>
    <row r="779" spans="2:7">
      <c r="B779" t="s">
        <v>11</v>
      </c>
      <c r="C779" t="s">
        <v>1076</v>
      </c>
      <c r="F779" s="2">
        <v>250</v>
      </c>
      <c r="G779" t="s">
        <v>13</v>
      </c>
    </row>
    <row r="780" spans="2:7">
      <c r="B780" t="s">
        <v>524</v>
      </c>
      <c r="C780" t="s">
        <v>1076</v>
      </c>
      <c r="F780" s="2">
        <v>200</v>
      </c>
      <c r="G780" t="s">
        <v>525</v>
      </c>
    </row>
    <row r="781" spans="2:7">
      <c r="B781" t="s">
        <v>684</v>
      </c>
      <c r="C781" t="s">
        <v>1077</v>
      </c>
      <c r="F781" s="2">
        <v>91</v>
      </c>
      <c r="G781" t="s">
        <v>686</v>
      </c>
    </row>
    <row r="782" spans="2:7">
      <c r="B782" t="s">
        <v>1036</v>
      </c>
      <c r="C782" t="s">
        <v>1076</v>
      </c>
      <c r="F782" s="2">
        <v>50</v>
      </c>
      <c r="G782" t="s">
        <v>1037</v>
      </c>
    </row>
    <row r="783" spans="2:7">
      <c r="B783" t="s">
        <v>1055</v>
      </c>
      <c r="C783" t="s">
        <v>1076</v>
      </c>
      <c r="F783" s="2">
        <v>100</v>
      </c>
      <c r="G783" t="s">
        <v>1056</v>
      </c>
    </row>
    <row r="784" spans="2:7">
      <c r="B784" t="s">
        <v>11</v>
      </c>
      <c r="C784" t="s">
        <v>1078</v>
      </c>
      <c r="F784" s="2">
        <v>-419.98</v>
      </c>
      <c r="G784" t="s">
        <v>13</v>
      </c>
    </row>
    <row r="785" spans="2:7">
      <c r="B785" t="s">
        <v>67</v>
      </c>
      <c r="C785" t="s">
        <v>1078</v>
      </c>
      <c r="F785" s="2">
        <v>-579.26</v>
      </c>
      <c r="G785" t="s">
        <v>69</v>
      </c>
    </row>
    <row r="786" spans="2:7">
      <c r="B786" t="s">
        <v>128</v>
      </c>
      <c r="C786" t="s">
        <v>1078</v>
      </c>
      <c r="F786" s="2">
        <v>-462</v>
      </c>
      <c r="G786" t="s">
        <v>130</v>
      </c>
    </row>
    <row r="787" spans="2:7">
      <c r="B787" t="s">
        <v>203</v>
      </c>
      <c r="C787" t="s">
        <v>1078</v>
      </c>
      <c r="F787" s="2">
        <v>-660.44</v>
      </c>
      <c r="G787" t="s">
        <v>205</v>
      </c>
    </row>
    <row r="788" spans="2:7">
      <c r="B788" t="s">
        <v>301</v>
      </c>
      <c r="C788" t="s">
        <v>1078</v>
      </c>
      <c r="F788" s="2">
        <v>-363.22</v>
      </c>
      <c r="G788" t="s">
        <v>303</v>
      </c>
    </row>
    <row r="789" spans="2:7">
      <c r="B789" t="s">
        <v>350</v>
      </c>
      <c r="C789" t="s">
        <v>1078</v>
      </c>
      <c r="F789" s="2">
        <v>-61.6</v>
      </c>
      <c r="G789" t="s">
        <v>351</v>
      </c>
    </row>
    <row r="790" spans="2:7">
      <c r="B790" t="s">
        <v>422</v>
      </c>
      <c r="C790" t="s">
        <v>1078</v>
      </c>
      <c r="F790" s="2">
        <v>-144.54</v>
      </c>
      <c r="G790" t="s">
        <v>423</v>
      </c>
    </row>
    <row r="791" spans="2:7">
      <c r="B791" t="s">
        <v>460</v>
      </c>
      <c r="C791" t="s">
        <v>1078</v>
      </c>
      <c r="F791" s="2">
        <v>-326.48</v>
      </c>
      <c r="G791" t="s">
        <v>462</v>
      </c>
    </row>
    <row r="792" spans="2:7">
      <c r="B792" t="s">
        <v>524</v>
      </c>
      <c r="C792" t="s">
        <v>1078</v>
      </c>
      <c r="F792" s="2">
        <v>-436.48</v>
      </c>
      <c r="G792" t="s">
        <v>525</v>
      </c>
    </row>
    <row r="793" spans="2:7">
      <c r="B793" t="s">
        <v>684</v>
      </c>
      <c r="C793" t="s">
        <v>1078</v>
      </c>
      <c r="F793" s="2">
        <v>-495</v>
      </c>
      <c r="G793" t="s">
        <v>686</v>
      </c>
    </row>
    <row r="794" spans="2:7">
      <c r="B794" t="s">
        <v>719</v>
      </c>
      <c r="C794" t="s">
        <v>1078</v>
      </c>
      <c r="F794" s="2">
        <v>-88</v>
      </c>
      <c r="G794" t="s">
        <v>720</v>
      </c>
    </row>
    <row r="795" spans="2:7">
      <c r="B795" t="s">
        <v>740</v>
      </c>
      <c r="C795" t="s">
        <v>1078</v>
      </c>
      <c r="F795" s="2">
        <v>-288.42</v>
      </c>
      <c r="G795" t="s">
        <v>741</v>
      </c>
    </row>
    <row r="796" spans="2:7">
      <c r="B796" t="s">
        <v>810</v>
      </c>
      <c r="C796" t="s">
        <v>1078</v>
      </c>
      <c r="F796" s="2">
        <v>-374</v>
      </c>
      <c r="G796" t="s">
        <v>811</v>
      </c>
    </row>
    <row r="797" spans="2:7">
      <c r="B797" t="s">
        <v>849</v>
      </c>
      <c r="C797" t="s">
        <v>1078</v>
      </c>
      <c r="F797" s="2">
        <v>-220.66</v>
      </c>
      <c r="G797" t="s">
        <v>850</v>
      </c>
    </row>
    <row r="798" spans="2:7">
      <c r="B798" t="s">
        <v>882</v>
      </c>
      <c r="C798" t="s">
        <v>1078</v>
      </c>
      <c r="F798" s="2">
        <v>-330</v>
      </c>
      <c r="G798" t="s">
        <v>883</v>
      </c>
    </row>
    <row r="799" spans="2:7">
      <c r="B799" t="s">
        <v>899</v>
      </c>
      <c r="C799" t="s">
        <v>1078</v>
      </c>
      <c r="F799" s="2">
        <v>-871.64</v>
      </c>
      <c r="G799" t="s">
        <v>900</v>
      </c>
    </row>
    <row r="800" spans="2:7">
      <c r="B800" t="s">
        <v>979</v>
      </c>
      <c r="C800" t="s">
        <v>1078</v>
      </c>
      <c r="F800" s="2">
        <v>-513.7</v>
      </c>
      <c r="G800" t="s">
        <v>981</v>
      </c>
    </row>
    <row r="801" spans="2:7">
      <c r="B801" t="s">
        <v>1036</v>
      </c>
      <c r="C801" t="s">
        <v>1078</v>
      </c>
      <c r="F801" s="2">
        <v>-161.48</v>
      </c>
      <c r="G801" t="s">
        <v>1037</v>
      </c>
    </row>
    <row r="802" spans="2:7">
      <c r="B802" t="s">
        <v>1055</v>
      </c>
      <c r="C802" t="s">
        <v>1078</v>
      </c>
      <c r="F802" s="2">
        <v>-297</v>
      </c>
      <c r="G802" t="s">
        <v>1056</v>
      </c>
    </row>
    <row r="803" spans="2:7">
      <c r="B803"/>
      <c r="C803"/>
      <c r="E803" t="s">
        <v>1079</v>
      </c>
      <c r="F803" s="2">
        <f ca="1">SUBTOTAL(109,Table1[TOTAL])</f>
        <v>0</v>
      </c>
      <c r="G803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79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5.140625" bestFit="1" customWidth="1"/>
    <col min="3" max="3" width="79.57031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7.4179687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19.92</v>
      </c>
      <c r="E2" s="2">
        <v>4.1</v>
      </c>
      <c r="F2" s="2">
        <v>81.67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16</v>
      </c>
      <c r="D3" s="1">
        <v>19.7</v>
      </c>
      <c r="E3" s="2">
        <v>4.45</v>
      </c>
      <c r="F3" s="2">
        <v>87.66</v>
      </c>
      <c r="G3" t="s">
        <v>13</v>
      </c>
      <c r="H3" t="s">
        <v>14</v>
      </c>
      <c r="I3" t="s">
        <v>14</v>
      </c>
    </row>
    <row r="4" spans="1:9">
      <c r="A4" t="s">
        <v>17</v>
      </c>
      <c r="B4" t="s">
        <v>11</v>
      </c>
      <c r="C4" t="s">
        <v>18</v>
      </c>
      <c r="D4" s="1">
        <v>19.62</v>
      </c>
      <c r="E4" s="2">
        <v>5.85</v>
      </c>
      <c r="F4" s="2">
        <v>114.78</v>
      </c>
      <c r="G4" t="s">
        <v>13</v>
      </c>
      <c r="H4" t="s">
        <v>14</v>
      </c>
      <c r="I4" t="s">
        <v>14</v>
      </c>
    </row>
    <row r="5" spans="1:9">
      <c r="A5" t="s">
        <v>19</v>
      </c>
      <c r="B5" t="s">
        <v>11</v>
      </c>
      <c r="C5" t="s">
        <v>20</v>
      </c>
      <c r="D5" s="1">
        <v>19.7</v>
      </c>
      <c r="E5" s="2">
        <v>5.35</v>
      </c>
      <c r="F5" s="2">
        <v>105.4</v>
      </c>
      <c r="G5" t="s">
        <v>13</v>
      </c>
      <c r="H5" t="s">
        <v>14</v>
      </c>
      <c r="I5" t="s">
        <v>14</v>
      </c>
    </row>
    <row r="6" spans="1:9">
      <c r="A6" t="s">
        <v>21</v>
      </c>
      <c r="B6" t="s">
        <v>11</v>
      </c>
      <c r="C6" t="s">
        <v>22</v>
      </c>
      <c r="D6" s="1">
        <v>19.81</v>
      </c>
      <c r="E6" s="2">
        <v>4.1</v>
      </c>
      <c r="F6" s="2">
        <v>81.22</v>
      </c>
      <c r="G6" t="s">
        <v>13</v>
      </c>
      <c r="H6" t="s">
        <v>14</v>
      </c>
      <c r="I6" t="s">
        <v>14</v>
      </c>
    </row>
    <row r="7" spans="1:9">
      <c r="A7" t="s">
        <v>23</v>
      </c>
      <c r="B7" t="s">
        <v>11</v>
      </c>
      <c r="C7" t="s">
        <v>20</v>
      </c>
      <c r="D7" s="1">
        <v>19.9</v>
      </c>
      <c r="E7" s="2">
        <v>5.35</v>
      </c>
      <c r="F7" s="2">
        <v>106.46</v>
      </c>
      <c r="G7" t="s">
        <v>13</v>
      </c>
      <c r="H7" t="s">
        <v>14</v>
      </c>
      <c r="I7" t="s">
        <v>14</v>
      </c>
    </row>
    <row r="8" spans="1:9">
      <c r="A8" t="s">
        <v>24</v>
      </c>
      <c r="B8" t="s">
        <v>11</v>
      </c>
      <c r="C8" t="s">
        <v>25</v>
      </c>
      <c r="D8" s="1">
        <v>19.98</v>
      </c>
      <c r="E8" s="2">
        <v>5.85</v>
      </c>
      <c r="F8" s="2">
        <v>116.88</v>
      </c>
      <c r="G8" t="s">
        <v>13</v>
      </c>
      <c r="H8" t="s">
        <v>14</v>
      </c>
      <c r="I8" t="s">
        <v>14</v>
      </c>
    </row>
    <row r="9" spans="1:9">
      <c r="A9" t="s">
        <v>26</v>
      </c>
      <c r="B9" t="s">
        <v>11</v>
      </c>
      <c r="C9" t="s">
        <v>27</v>
      </c>
      <c r="D9" s="1">
        <v>19.69</v>
      </c>
      <c r="E9" s="2">
        <v>4.85</v>
      </c>
      <c r="F9" s="2">
        <v>95.5</v>
      </c>
      <c r="G9" t="s">
        <v>13</v>
      </c>
      <c r="H9" t="s">
        <v>14</v>
      </c>
      <c r="I9" t="s">
        <v>14</v>
      </c>
    </row>
    <row r="10" spans="1:9">
      <c r="A10" t="s">
        <v>28</v>
      </c>
      <c r="B10" t="s">
        <v>11</v>
      </c>
      <c r="C10" t="s">
        <v>29</v>
      </c>
      <c r="D10" s="1">
        <v>19.78</v>
      </c>
      <c r="E10" s="2">
        <v>4.45</v>
      </c>
      <c r="F10" s="2">
        <v>88.02</v>
      </c>
      <c r="G10" t="s">
        <v>13</v>
      </c>
      <c r="H10" t="s">
        <v>14</v>
      </c>
      <c r="I10" t="s">
        <v>14</v>
      </c>
    </row>
    <row r="11" spans="1:9">
      <c r="A11" t="s">
        <v>30</v>
      </c>
      <c r="B11" t="s">
        <v>11</v>
      </c>
      <c r="C11" t="s">
        <v>31</v>
      </c>
      <c r="D11" s="1">
        <v>19.69</v>
      </c>
      <c r="E11" s="2">
        <v>4.45</v>
      </c>
      <c r="F11" s="2">
        <v>87.62</v>
      </c>
      <c r="G11" t="s">
        <v>13</v>
      </c>
      <c r="H11" t="s">
        <v>14</v>
      </c>
      <c r="I11" t="s">
        <v>14</v>
      </c>
    </row>
    <row r="12" spans="1:9">
      <c r="A12" t="s">
        <v>32</v>
      </c>
      <c r="B12" t="s">
        <v>11</v>
      </c>
      <c r="C12" t="s">
        <v>25</v>
      </c>
      <c r="D12" s="1">
        <v>19.67</v>
      </c>
      <c r="E12" s="2">
        <v>5.85</v>
      </c>
      <c r="F12" s="2">
        <v>115.07</v>
      </c>
      <c r="G12" t="s">
        <v>13</v>
      </c>
      <c r="H12" t="s">
        <v>14</v>
      </c>
      <c r="I12" t="s">
        <v>14</v>
      </c>
    </row>
    <row r="13" spans="1:9">
      <c r="A13" t="s">
        <v>33</v>
      </c>
      <c r="B13" t="s">
        <v>11</v>
      </c>
      <c r="C13" t="s">
        <v>34</v>
      </c>
      <c r="D13" s="1">
        <v>19.74</v>
      </c>
      <c r="E13" s="2">
        <v>4.85</v>
      </c>
      <c r="F13" s="2">
        <v>95.74</v>
      </c>
      <c r="G13" t="s">
        <v>13</v>
      </c>
      <c r="H13" t="s">
        <v>14</v>
      </c>
      <c r="I13" t="s">
        <v>14</v>
      </c>
    </row>
    <row r="14" spans="1:9">
      <c r="A14" t="s">
        <v>35</v>
      </c>
      <c r="B14" t="s">
        <v>11</v>
      </c>
      <c r="C14" t="s">
        <v>29</v>
      </c>
      <c r="D14" s="1">
        <v>19.89</v>
      </c>
      <c r="E14" s="2">
        <v>4.45</v>
      </c>
      <c r="F14" s="2">
        <v>88.51</v>
      </c>
      <c r="G14" t="s">
        <v>13</v>
      </c>
      <c r="H14" t="s">
        <v>14</v>
      </c>
      <c r="I14" t="s">
        <v>14</v>
      </c>
    </row>
    <row r="15" spans="1:9">
      <c r="A15" t="s">
        <v>36</v>
      </c>
      <c r="B15" t="s">
        <v>11</v>
      </c>
      <c r="C15" t="s">
        <v>29</v>
      </c>
      <c r="D15" s="1">
        <v>19.68</v>
      </c>
      <c r="E15" s="2">
        <v>4.45</v>
      </c>
      <c r="F15" s="2">
        <v>87.58</v>
      </c>
      <c r="G15" t="s">
        <v>13</v>
      </c>
      <c r="H15" t="s">
        <v>14</v>
      </c>
      <c r="I15" t="s">
        <v>14</v>
      </c>
    </row>
    <row r="16" spans="1:9">
      <c r="A16" t="s">
        <v>37</v>
      </c>
      <c r="B16" t="s">
        <v>11</v>
      </c>
      <c r="C16" t="s">
        <v>25</v>
      </c>
      <c r="D16" s="1">
        <v>19.68</v>
      </c>
      <c r="E16" s="2">
        <v>5.85</v>
      </c>
      <c r="F16" s="2">
        <v>115.13</v>
      </c>
      <c r="G16" t="s">
        <v>13</v>
      </c>
      <c r="H16" t="s">
        <v>14</v>
      </c>
      <c r="I16" t="s">
        <v>14</v>
      </c>
    </row>
    <row r="17" spans="1:9">
      <c r="A17" t="s">
        <v>38</v>
      </c>
      <c r="B17" t="s">
        <v>11</v>
      </c>
      <c r="C17" t="s">
        <v>39</v>
      </c>
      <c r="D17" s="1">
        <v>19.72</v>
      </c>
      <c r="E17" s="2">
        <v>6.1</v>
      </c>
      <c r="F17" s="2">
        <v>120.29</v>
      </c>
      <c r="G17" t="s">
        <v>13</v>
      </c>
      <c r="H17" t="s">
        <v>14</v>
      </c>
      <c r="I17" t="s">
        <v>14</v>
      </c>
    </row>
    <row r="18" spans="1:9">
      <c r="A18" t="s">
        <v>40</v>
      </c>
      <c r="B18" t="s">
        <v>11</v>
      </c>
      <c r="C18" t="s">
        <v>41</v>
      </c>
      <c r="D18" s="1">
        <v>19.72</v>
      </c>
      <c r="E18" s="2">
        <v>6.35</v>
      </c>
      <c r="F18" s="2">
        <v>125.22</v>
      </c>
      <c r="G18" t="s">
        <v>13</v>
      </c>
      <c r="H18" t="s">
        <v>14</v>
      </c>
      <c r="I18" t="s">
        <v>14</v>
      </c>
    </row>
    <row r="19" spans="1:9">
      <c r="A19" t="s">
        <v>42</v>
      </c>
      <c r="B19" t="s">
        <v>11</v>
      </c>
      <c r="C19" t="s">
        <v>25</v>
      </c>
      <c r="D19" s="1">
        <v>19.66</v>
      </c>
      <c r="E19" s="2">
        <v>5.85</v>
      </c>
      <c r="F19" s="2">
        <v>115.01</v>
      </c>
      <c r="G19" t="s">
        <v>13</v>
      </c>
      <c r="H19" t="s">
        <v>14</v>
      </c>
      <c r="I19" t="s">
        <v>14</v>
      </c>
    </row>
    <row r="20" spans="1:9">
      <c r="A20" t="s">
        <v>43</v>
      </c>
      <c r="B20" t="s">
        <v>11</v>
      </c>
      <c r="C20" t="s">
        <v>44</v>
      </c>
      <c r="D20" s="1">
        <v>19.64</v>
      </c>
      <c r="E20" s="2">
        <v>11.4</v>
      </c>
      <c r="F20" s="2">
        <v>223.9</v>
      </c>
      <c r="G20" t="s">
        <v>13</v>
      </c>
      <c r="H20" t="s">
        <v>14</v>
      </c>
      <c r="I20" t="s">
        <v>14</v>
      </c>
    </row>
    <row r="21" spans="1:9">
      <c r="A21" t="s">
        <v>45</v>
      </c>
      <c r="B21" t="s">
        <v>11</v>
      </c>
      <c r="C21" t="s">
        <v>29</v>
      </c>
      <c r="D21" s="1">
        <v>19.69</v>
      </c>
      <c r="E21" s="2">
        <v>4.45</v>
      </c>
      <c r="F21" s="2">
        <v>87.62</v>
      </c>
      <c r="G21" t="s">
        <v>13</v>
      </c>
      <c r="H21" t="s">
        <v>14</v>
      </c>
      <c r="I21" t="s">
        <v>14</v>
      </c>
    </row>
    <row r="22" spans="1:9">
      <c r="A22" t="s">
        <v>46</v>
      </c>
      <c r="B22" t="s">
        <v>11</v>
      </c>
      <c r="C22" t="s">
        <v>47</v>
      </c>
      <c r="D22" s="1">
        <v>19.68</v>
      </c>
      <c r="E22" s="2">
        <v>6.1</v>
      </c>
      <c r="F22" s="2">
        <v>120.05</v>
      </c>
      <c r="G22" t="s">
        <v>13</v>
      </c>
      <c r="H22" t="s">
        <v>14</v>
      </c>
      <c r="I22" t="s">
        <v>14</v>
      </c>
    </row>
    <row r="23" spans="1:9">
      <c r="A23" t="s">
        <v>48</v>
      </c>
      <c r="B23" t="s">
        <v>11</v>
      </c>
      <c r="C23" t="s">
        <v>16</v>
      </c>
      <c r="D23" s="1">
        <v>19.73</v>
      </c>
      <c r="E23" s="2">
        <v>4.45</v>
      </c>
      <c r="F23" s="2">
        <v>87.8</v>
      </c>
      <c r="G23" t="s">
        <v>13</v>
      </c>
      <c r="H23" t="s">
        <v>14</v>
      </c>
      <c r="I23" t="s">
        <v>14</v>
      </c>
    </row>
    <row r="24" spans="1:9">
      <c r="A24" t="s">
        <v>49</v>
      </c>
      <c r="B24" t="s">
        <v>11</v>
      </c>
      <c r="C24" t="s">
        <v>50</v>
      </c>
      <c r="D24" s="1">
        <v>19.81</v>
      </c>
      <c r="E24" s="2">
        <v>6.1</v>
      </c>
      <c r="F24" s="2">
        <v>120.84</v>
      </c>
      <c r="G24" t="s">
        <v>13</v>
      </c>
      <c r="H24" t="s">
        <v>14</v>
      </c>
      <c r="I24" t="s">
        <v>14</v>
      </c>
    </row>
    <row r="25" spans="1:9">
      <c r="A25" t="s">
        <v>51</v>
      </c>
      <c r="B25" t="s">
        <v>11</v>
      </c>
      <c r="C25" t="s">
        <v>52</v>
      </c>
      <c r="D25" s="1">
        <v>19.84</v>
      </c>
      <c r="E25" s="2">
        <v>5.35</v>
      </c>
      <c r="F25" s="2">
        <v>106.14</v>
      </c>
      <c r="G25" t="s">
        <v>13</v>
      </c>
      <c r="H25" t="s">
        <v>14</v>
      </c>
      <c r="I25" t="s">
        <v>14</v>
      </c>
    </row>
    <row r="26" spans="1:9">
      <c r="A26" t="s">
        <v>53</v>
      </c>
      <c r="B26" t="s">
        <v>11</v>
      </c>
      <c r="C26" t="s">
        <v>25</v>
      </c>
      <c r="D26" s="1">
        <v>19.63</v>
      </c>
      <c r="E26" s="2">
        <v>5.85</v>
      </c>
      <c r="F26" s="2">
        <v>114.84</v>
      </c>
      <c r="G26" t="s">
        <v>13</v>
      </c>
      <c r="H26" t="s">
        <v>14</v>
      </c>
      <c r="I26" t="s">
        <v>14</v>
      </c>
    </row>
    <row r="27" spans="1:9">
      <c r="A27" t="s">
        <v>54</v>
      </c>
      <c r="B27" t="s">
        <v>11</v>
      </c>
      <c r="C27" t="s">
        <v>16</v>
      </c>
      <c r="D27" s="1">
        <v>19.7</v>
      </c>
      <c r="E27" s="2">
        <v>4.45</v>
      </c>
      <c r="F27" s="2">
        <v>87.66</v>
      </c>
      <c r="G27" t="s">
        <v>13</v>
      </c>
      <c r="H27" t="s">
        <v>14</v>
      </c>
      <c r="I27" t="s">
        <v>14</v>
      </c>
    </row>
    <row r="28" spans="1:9">
      <c r="A28" t="s">
        <v>55</v>
      </c>
      <c r="B28" t="s">
        <v>11</v>
      </c>
      <c r="C28" t="s">
        <v>56</v>
      </c>
      <c r="D28" s="1">
        <v>19.69</v>
      </c>
      <c r="E28" s="2">
        <v>5.35</v>
      </c>
      <c r="F28" s="2">
        <v>105.34</v>
      </c>
      <c r="G28" t="s">
        <v>13</v>
      </c>
      <c r="H28" t="s">
        <v>14</v>
      </c>
      <c r="I28" t="s">
        <v>14</v>
      </c>
    </row>
    <row r="29" spans="1:9">
      <c r="A29" t="s">
        <v>57</v>
      </c>
      <c r="B29" t="s">
        <v>11</v>
      </c>
      <c r="C29" t="s">
        <v>16</v>
      </c>
      <c r="D29" s="1">
        <v>19.64</v>
      </c>
      <c r="E29" s="2">
        <v>4.45</v>
      </c>
      <c r="F29" s="2">
        <v>87.4</v>
      </c>
      <c r="G29" t="s">
        <v>13</v>
      </c>
      <c r="H29" t="s">
        <v>14</v>
      </c>
      <c r="I29" t="s">
        <v>14</v>
      </c>
    </row>
    <row r="30" spans="1:9">
      <c r="A30" t="s">
        <v>58</v>
      </c>
      <c r="B30" t="s">
        <v>11</v>
      </c>
      <c r="C30" t="s">
        <v>59</v>
      </c>
      <c r="D30" s="1">
        <v>19.69</v>
      </c>
      <c r="E30" s="2">
        <v>5.05</v>
      </c>
      <c r="F30" s="2">
        <v>99.43</v>
      </c>
      <c r="G30" t="s">
        <v>13</v>
      </c>
      <c r="H30" t="s">
        <v>14</v>
      </c>
      <c r="I30" t="s">
        <v>14</v>
      </c>
    </row>
    <row r="31" spans="1:9">
      <c r="A31" t="s">
        <v>60</v>
      </c>
      <c r="B31" t="s">
        <v>11</v>
      </c>
      <c r="C31" t="s">
        <v>20</v>
      </c>
      <c r="D31" s="1">
        <v>19.64</v>
      </c>
      <c r="E31" s="2">
        <v>5.35</v>
      </c>
      <c r="F31" s="2">
        <v>105.07</v>
      </c>
      <c r="G31" t="s">
        <v>13</v>
      </c>
      <c r="H31" t="s">
        <v>14</v>
      </c>
      <c r="I31" t="s">
        <v>14</v>
      </c>
    </row>
    <row r="32" spans="1:9">
      <c r="A32" t="s">
        <v>61</v>
      </c>
      <c r="B32" t="s">
        <v>11</v>
      </c>
      <c r="C32" t="s">
        <v>25</v>
      </c>
      <c r="D32" s="1">
        <v>19.67</v>
      </c>
      <c r="E32" s="2">
        <v>5.85</v>
      </c>
      <c r="F32" s="2">
        <v>115.07</v>
      </c>
      <c r="G32" t="s">
        <v>13</v>
      </c>
      <c r="H32" t="s">
        <v>14</v>
      </c>
      <c r="I32" t="s">
        <v>14</v>
      </c>
    </row>
    <row r="33" spans="1:9">
      <c r="A33" t="s">
        <v>62</v>
      </c>
      <c r="B33" t="s">
        <v>11</v>
      </c>
      <c r="C33" t="s">
        <v>29</v>
      </c>
      <c r="D33" s="1">
        <v>19.7</v>
      </c>
      <c r="E33" s="2">
        <v>4.45</v>
      </c>
      <c r="F33" s="2">
        <v>87.66</v>
      </c>
      <c r="G33" t="s">
        <v>13</v>
      </c>
      <c r="H33" t="s">
        <v>14</v>
      </c>
      <c r="I33" t="s">
        <v>14</v>
      </c>
    </row>
    <row r="34" spans="1:9">
      <c r="A34" t="s">
        <v>63</v>
      </c>
      <c r="B34" t="s">
        <v>11</v>
      </c>
      <c r="C34" t="s">
        <v>64</v>
      </c>
      <c r="D34" s="1">
        <v>19.75</v>
      </c>
      <c r="E34" s="2">
        <v>12.9</v>
      </c>
      <c r="F34" s="2">
        <v>254.78</v>
      </c>
      <c r="G34" t="s">
        <v>13</v>
      </c>
      <c r="H34" t="s">
        <v>14</v>
      </c>
      <c r="I34" t="s">
        <v>14</v>
      </c>
    </row>
    <row r="35" spans="1:9">
      <c r="A35" t="s">
        <v>65</v>
      </c>
      <c r="B35" t="s">
        <v>11</v>
      </c>
      <c r="C35" t="s">
        <v>25</v>
      </c>
      <c r="D35" s="1">
        <v>19.77</v>
      </c>
      <c r="E35" s="2">
        <v>5.85</v>
      </c>
      <c r="F35" s="2">
        <v>115.65</v>
      </c>
      <c r="G35" t="s">
        <v>13</v>
      </c>
      <c r="H35" t="s">
        <v>14</v>
      </c>
      <c r="I35" t="s">
        <v>14</v>
      </c>
    </row>
    <row r="36" spans="1:9">
      <c r="A36" t="s">
        <v>66</v>
      </c>
      <c r="B36" t="s">
        <v>67</v>
      </c>
      <c r="C36" t="s">
        <v>68</v>
      </c>
      <c r="D36" s="1">
        <v>19.36</v>
      </c>
      <c r="E36" s="2">
        <v>6.85</v>
      </c>
      <c r="F36" s="2">
        <v>132.62</v>
      </c>
      <c r="G36" t="s">
        <v>69</v>
      </c>
      <c r="H36" t="s">
        <v>14</v>
      </c>
      <c r="I36" t="s">
        <v>14</v>
      </c>
    </row>
    <row r="37" spans="1:9">
      <c r="A37" t="s">
        <v>70</v>
      </c>
      <c r="B37" t="s">
        <v>67</v>
      </c>
      <c r="C37" t="s">
        <v>71</v>
      </c>
      <c r="D37" s="1">
        <v>19.56</v>
      </c>
      <c r="E37" s="2">
        <v>5.85</v>
      </c>
      <c r="F37" s="2">
        <v>114.43</v>
      </c>
      <c r="G37" t="s">
        <v>69</v>
      </c>
      <c r="H37" t="s">
        <v>14</v>
      </c>
      <c r="I37" t="s">
        <v>14</v>
      </c>
    </row>
    <row r="38" spans="1:9">
      <c r="A38" t="s">
        <v>72</v>
      </c>
      <c r="B38" t="s">
        <v>67</v>
      </c>
      <c r="C38" t="s">
        <v>73</v>
      </c>
      <c r="D38" s="1">
        <v>1</v>
      </c>
      <c r="E38" s="2">
        <v>134.55</v>
      </c>
      <c r="F38" s="2">
        <v>134.55</v>
      </c>
      <c r="G38" t="s">
        <v>69</v>
      </c>
      <c r="H38" t="s">
        <v>14</v>
      </c>
      <c r="I38" t="s">
        <v>14</v>
      </c>
    </row>
    <row r="39" spans="1:9">
      <c r="A39" t="s">
        <v>74</v>
      </c>
      <c r="B39" t="s">
        <v>67</v>
      </c>
      <c r="C39" t="s">
        <v>75</v>
      </c>
      <c r="D39" s="1">
        <v>19.57</v>
      </c>
      <c r="E39" s="2">
        <v>5.85</v>
      </c>
      <c r="F39" s="2">
        <v>114.48</v>
      </c>
      <c r="G39" t="s">
        <v>69</v>
      </c>
      <c r="H39" t="s">
        <v>14</v>
      </c>
      <c r="I39" t="s">
        <v>14</v>
      </c>
    </row>
    <row r="40" spans="1:9">
      <c r="A40" t="s">
        <v>76</v>
      </c>
      <c r="B40" t="s">
        <v>67</v>
      </c>
      <c r="C40" t="s">
        <v>77</v>
      </c>
      <c r="D40" s="1">
        <v>19.37</v>
      </c>
      <c r="E40" s="2">
        <v>3.6</v>
      </c>
      <c r="F40" s="2">
        <v>69.73</v>
      </c>
      <c r="G40" t="s">
        <v>69</v>
      </c>
      <c r="H40" t="s">
        <v>14</v>
      </c>
      <c r="I40" t="s">
        <v>14</v>
      </c>
    </row>
    <row r="41" spans="1:9">
      <c r="A41" t="s">
        <v>78</v>
      </c>
      <c r="B41" t="s">
        <v>67</v>
      </c>
      <c r="C41" t="s">
        <v>79</v>
      </c>
      <c r="D41" s="1">
        <v>19.5</v>
      </c>
      <c r="E41" s="2">
        <v>5.05</v>
      </c>
      <c r="F41" s="2">
        <v>98.48</v>
      </c>
      <c r="G41" t="s">
        <v>69</v>
      </c>
      <c r="H41" t="s">
        <v>14</v>
      </c>
      <c r="I41" t="s">
        <v>14</v>
      </c>
    </row>
    <row r="42" spans="1:9">
      <c r="A42" t="s">
        <v>80</v>
      </c>
      <c r="B42" t="s">
        <v>67</v>
      </c>
      <c r="C42" t="s">
        <v>81</v>
      </c>
      <c r="D42" s="1">
        <v>19.4</v>
      </c>
      <c r="E42" s="2">
        <v>4.3</v>
      </c>
      <c r="F42" s="2">
        <v>83.42</v>
      </c>
      <c r="G42" t="s">
        <v>69</v>
      </c>
      <c r="H42" t="s">
        <v>14</v>
      </c>
      <c r="I42" t="s">
        <v>14</v>
      </c>
    </row>
    <row r="43" spans="1:9">
      <c r="A43" t="s">
        <v>82</v>
      </c>
      <c r="B43" t="s">
        <v>67</v>
      </c>
      <c r="C43" t="s">
        <v>77</v>
      </c>
      <c r="D43" s="1">
        <v>19.37</v>
      </c>
      <c r="E43" s="2">
        <v>3.6</v>
      </c>
      <c r="F43" s="2">
        <v>69.73</v>
      </c>
      <c r="G43" t="s">
        <v>69</v>
      </c>
      <c r="H43" t="s">
        <v>14</v>
      </c>
      <c r="I43" t="s">
        <v>14</v>
      </c>
    </row>
    <row r="44" spans="1:9">
      <c r="A44" t="s">
        <v>83</v>
      </c>
      <c r="B44" t="s">
        <v>67</v>
      </c>
      <c r="C44" t="s">
        <v>84</v>
      </c>
      <c r="D44" s="1">
        <v>19.49</v>
      </c>
      <c r="E44" s="2">
        <v>6.3</v>
      </c>
      <c r="F44" s="2">
        <v>122.79</v>
      </c>
      <c r="G44" t="s">
        <v>69</v>
      </c>
      <c r="H44" t="s">
        <v>14</v>
      </c>
      <c r="I44" t="s">
        <v>14</v>
      </c>
    </row>
    <row r="45" spans="1:9">
      <c r="A45" t="s">
        <v>85</v>
      </c>
      <c r="B45" t="s">
        <v>67</v>
      </c>
      <c r="C45" t="s">
        <v>86</v>
      </c>
      <c r="D45" s="1">
        <v>19.5</v>
      </c>
      <c r="E45" s="2">
        <v>5.85</v>
      </c>
      <c r="F45" s="2">
        <v>114.07</v>
      </c>
      <c r="G45" t="s">
        <v>69</v>
      </c>
      <c r="H45" t="s">
        <v>14</v>
      </c>
      <c r="I45" t="s">
        <v>14</v>
      </c>
    </row>
    <row r="46" spans="1:9">
      <c r="A46" t="s">
        <v>87</v>
      </c>
      <c r="B46" t="s">
        <v>67</v>
      </c>
      <c r="C46" t="s">
        <v>88</v>
      </c>
      <c r="D46" s="1">
        <v>19.46</v>
      </c>
      <c r="E46" s="2">
        <v>5.6</v>
      </c>
      <c r="F46" s="2">
        <v>108.98</v>
      </c>
      <c r="G46" t="s">
        <v>69</v>
      </c>
      <c r="H46" t="s">
        <v>14</v>
      </c>
      <c r="I46" t="s">
        <v>14</v>
      </c>
    </row>
    <row r="47" spans="1:9">
      <c r="A47" t="s">
        <v>89</v>
      </c>
      <c r="B47" t="s">
        <v>67</v>
      </c>
      <c r="C47" t="s">
        <v>90</v>
      </c>
      <c r="D47" s="1">
        <v>19.42</v>
      </c>
      <c r="E47" s="2">
        <v>3.6</v>
      </c>
      <c r="F47" s="2">
        <v>69.91</v>
      </c>
      <c r="G47" t="s">
        <v>69</v>
      </c>
      <c r="H47" t="s">
        <v>14</v>
      </c>
      <c r="I47" t="s">
        <v>14</v>
      </c>
    </row>
    <row r="48" spans="1:9">
      <c r="A48" t="s">
        <v>91</v>
      </c>
      <c r="B48" t="s">
        <v>67</v>
      </c>
      <c r="C48" t="s">
        <v>92</v>
      </c>
      <c r="D48" s="1">
        <v>19.65</v>
      </c>
      <c r="E48" s="2">
        <v>6.1</v>
      </c>
      <c r="F48" s="2">
        <v>119.86</v>
      </c>
      <c r="G48" t="s">
        <v>69</v>
      </c>
      <c r="H48" t="s">
        <v>14</v>
      </c>
      <c r="I48" t="s">
        <v>14</v>
      </c>
    </row>
    <row r="49" spans="1:9">
      <c r="A49" t="s">
        <v>93</v>
      </c>
      <c r="B49" t="s">
        <v>67</v>
      </c>
      <c r="C49" t="s">
        <v>94</v>
      </c>
      <c r="D49" s="1">
        <v>19.54</v>
      </c>
      <c r="E49" s="2">
        <v>3.6</v>
      </c>
      <c r="F49" s="2">
        <v>70.34</v>
      </c>
      <c r="G49" t="s">
        <v>69</v>
      </c>
      <c r="H49" t="s">
        <v>14</v>
      </c>
      <c r="I49" t="s">
        <v>14</v>
      </c>
    </row>
    <row r="50" spans="1:9">
      <c r="A50" t="s">
        <v>95</v>
      </c>
      <c r="B50" t="s">
        <v>67</v>
      </c>
      <c r="C50" t="s">
        <v>96</v>
      </c>
      <c r="D50" s="1">
        <v>19.63</v>
      </c>
      <c r="E50" s="2">
        <v>3.25</v>
      </c>
      <c r="F50" s="2">
        <v>63.8</v>
      </c>
      <c r="G50" t="s">
        <v>69</v>
      </c>
      <c r="H50" t="s">
        <v>14</v>
      </c>
      <c r="I50" t="s">
        <v>14</v>
      </c>
    </row>
    <row r="51" spans="1:9">
      <c r="A51" t="s">
        <v>97</v>
      </c>
      <c r="B51" t="s">
        <v>67</v>
      </c>
      <c r="C51" t="s">
        <v>98</v>
      </c>
      <c r="D51" s="1">
        <v>19.66</v>
      </c>
      <c r="E51" s="2">
        <v>5.45</v>
      </c>
      <c r="F51" s="2">
        <v>107.15</v>
      </c>
      <c r="G51" t="s">
        <v>69</v>
      </c>
      <c r="H51" t="s">
        <v>14</v>
      </c>
      <c r="I51" t="s">
        <v>14</v>
      </c>
    </row>
    <row r="52" spans="1:9">
      <c r="A52" t="s">
        <v>99</v>
      </c>
      <c r="B52" t="s">
        <v>67</v>
      </c>
      <c r="C52" t="s">
        <v>100</v>
      </c>
      <c r="D52" s="1">
        <v>19.6</v>
      </c>
      <c r="E52" s="2">
        <v>5.35</v>
      </c>
      <c r="F52" s="2">
        <v>104.86</v>
      </c>
      <c r="G52" t="s">
        <v>69</v>
      </c>
      <c r="H52" t="s">
        <v>14</v>
      </c>
      <c r="I52" t="s">
        <v>14</v>
      </c>
    </row>
    <row r="53" spans="1:9">
      <c r="A53" t="s">
        <v>101</v>
      </c>
      <c r="B53" t="s">
        <v>67</v>
      </c>
      <c r="C53" t="s">
        <v>102</v>
      </c>
      <c r="D53" s="1">
        <v>19.5</v>
      </c>
      <c r="E53" s="2">
        <v>4.45</v>
      </c>
      <c r="F53" s="2">
        <v>86.78</v>
      </c>
      <c r="G53" t="s">
        <v>69</v>
      </c>
      <c r="H53" t="s">
        <v>14</v>
      </c>
      <c r="I53" t="s">
        <v>14</v>
      </c>
    </row>
    <row r="54" spans="1:9">
      <c r="A54" t="s">
        <v>103</v>
      </c>
      <c r="B54" t="s">
        <v>67</v>
      </c>
      <c r="C54" t="s">
        <v>88</v>
      </c>
      <c r="D54" s="1">
        <v>19.6</v>
      </c>
      <c r="E54" s="2">
        <v>5.6</v>
      </c>
      <c r="F54" s="2">
        <v>109.76</v>
      </c>
      <c r="G54" t="s">
        <v>69</v>
      </c>
      <c r="H54" t="s">
        <v>14</v>
      </c>
      <c r="I54" t="s">
        <v>14</v>
      </c>
    </row>
    <row r="55" spans="1:9">
      <c r="A55" t="s">
        <v>104</v>
      </c>
      <c r="B55" t="s">
        <v>67</v>
      </c>
      <c r="C55" t="s">
        <v>77</v>
      </c>
      <c r="D55" s="1">
        <v>19.64</v>
      </c>
      <c r="E55" s="2">
        <v>3.6</v>
      </c>
      <c r="F55" s="2">
        <v>70.7</v>
      </c>
      <c r="G55" t="s">
        <v>69</v>
      </c>
      <c r="H55" t="s">
        <v>14</v>
      </c>
      <c r="I55" t="s">
        <v>14</v>
      </c>
    </row>
    <row r="56" spans="1:9">
      <c r="A56" t="s">
        <v>105</v>
      </c>
      <c r="B56" t="s">
        <v>67</v>
      </c>
      <c r="C56" t="s">
        <v>106</v>
      </c>
      <c r="D56" s="1">
        <v>19.63</v>
      </c>
      <c r="E56" s="2">
        <v>4.45</v>
      </c>
      <c r="F56" s="2">
        <v>87.35</v>
      </c>
      <c r="G56" t="s">
        <v>69</v>
      </c>
      <c r="H56" t="s">
        <v>14</v>
      </c>
      <c r="I56" t="s">
        <v>14</v>
      </c>
    </row>
    <row r="57" spans="1:9">
      <c r="A57" t="s">
        <v>107</v>
      </c>
      <c r="B57" t="s">
        <v>67</v>
      </c>
      <c r="C57" t="s">
        <v>108</v>
      </c>
      <c r="D57" s="1">
        <v>19.64</v>
      </c>
      <c r="E57" s="2">
        <v>5.6</v>
      </c>
      <c r="F57" s="2">
        <v>109.98</v>
      </c>
      <c r="G57" t="s">
        <v>69</v>
      </c>
      <c r="H57" t="s">
        <v>14</v>
      </c>
      <c r="I57" t="s">
        <v>14</v>
      </c>
    </row>
    <row r="58" spans="1:9">
      <c r="A58" t="s">
        <v>109</v>
      </c>
      <c r="B58" t="s">
        <v>67</v>
      </c>
      <c r="C58" t="s">
        <v>110</v>
      </c>
      <c r="D58" s="1">
        <v>19.64</v>
      </c>
      <c r="E58" s="2">
        <v>6.1</v>
      </c>
      <c r="F58" s="2">
        <v>119.8</v>
      </c>
      <c r="G58" t="s">
        <v>69</v>
      </c>
      <c r="H58" t="s">
        <v>14</v>
      </c>
      <c r="I58" t="s">
        <v>14</v>
      </c>
    </row>
    <row r="59" spans="1:9">
      <c r="A59" t="s">
        <v>111</v>
      </c>
      <c r="B59" t="s">
        <v>67</v>
      </c>
      <c r="C59" t="s">
        <v>108</v>
      </c>
      <c r="D59" s="1">
        <v>19.61</v>
      </c>
      <c r="E59" s="2">
        <v>5.6</v>
      </c>
      <c r="F59" s="2">
        <v>109.82</v>
      </c>
      <c r="G59" t="s">
        <v>69</v>
      </c>
      <c r="H59" t="s">
        <v>14</v>
      </c>
      <c r="I59" t="s">
        <v>14</v>
      </c>
    </row>
    <row r="60" spans="1:9">
      <c r="A60" t="s">
        <v>112</v>
      </c>
      <c r="B60" t="s">
        <v>67</v>
      </c>
      <c r="C60" t="s">
        <v>94</v>
      </c>
      <c r="D60" s="1">
        <v>19.56</v>
      </c>
      <c r="E60" s="2">
        <v>3.6</v>
      </c>
      <c r="F60" s="2">
        <v>70.42</v>
      </c>
      <c r="G60" t="s">
        <v>69</v>
      </c>
      <c r="H60" t="s">
        <v>14</v>
      </c>
      <c r="I60" t="s">
        <v>14</v>
      </c>
    </row>
    <row r="61" spans="1:9">
      <c r="A61" t="s">
        <v>113</v>
      </c>
      <c r="B61" t="s">
        <v>67</v>
      </c>
      <c r="C61" t="s">
        <v>108</v>
      </c>
      <c r="D61" s="1">
        <v>19.57</v>
      </c>
      <c r="E61" s="2">
        <v>5.6</v>
      </c>
      <c r="F61" s="2">
        <v>109.59</v>
      </c>
      <c r="G61" t="s">
        <v>69</v>
      </c>
      <c r="H61" t="s">
        <v>14</v>
      </c>
      <c r="I61" t="s">
        <v>14</v>
      </c>
    </row>
    <row r="62" spans="1:9">
      <c r="A62" t="s">
        <v>114</v>
      </c>
      <c r="B62" t="s">
        <v>67</v>
      </c>
      <c r="C62" t="s">
        <v>106</v>
      </c>
      <c r="D62" s="1">
        <v>19.62</v>
      </c>
      <c r="E62" s="2">
        <v>4.45</v>
      </c>
      <c r="F62" s="2">
        <v>87.31</v>
      </c>
      <c r="G62" t="s">
        <v>69</v>
      </c>
      <c r="H62" t="s">
        <v>14</v>
      </c>
      <c r="I62" t="s">
        <v>14</v>
      </c>
    </row>
    <row r="63" spans="1:9">
      <c r="A63" t="s">
        <v>115</v>
      </c>
      <c r="B63" t="s">
        <v>67</v>
      </c>
      <c r="C63" t="s">
        <v>116</v>
      </c>
      <c r="D63" s="1">
        <v>19.64</v>
      </c>
      <c r="E63" s="2">
        <v>5.85</v>
      </c>
      <c r="F63" s="2">
        <v>114.89</v>
      </c>
      <c r="G63" t="s">
        <v>69</v>
      </c>
      <c r="H63" t="s">
        <v>14</v>
      </c>
      <c r="I63" t="s">
        <v>14</v>
      </c>
    </row>
    <row r="64" spans="1:9">
      <c r="A64" t="s">
        <v>117</v>
      </c>
      <c r="B64" t="s">
        <v>67</v>
      </c>
      <c r="C64" t="s">
        <v>118</v>
      </c>
      <c r="D64" s="1">
        <v>19.65</v>
      </c>
      <c r="E64" s="2">
        <v>5.05</v>
      </c>
      <c r="F64" s="2">
        <v>99.23</v>
      </c>
      <c r="G64" t="s">
        <v>69</v>
      </c>
      <c r="H64" t="s">
        <v>14</v>
      </c>
      <c r="I64" t="s">
        <v>14</v>
      </c>
    </row>
    <row r="65" spans="1:9">
      <c r="A65" t="s">
        <v>119</v>
      </c>
      <c r="B65" t="s">
        <v>67</v>
      </c>
      <c r="C65" t="s">
        <v>120</v>
      </c>
      <c r="D65" s="1">
        <v>19.76</v>
      </c>
      <c r="E65" s="2">
        <v>5.6</v>
      </c>
      <c r="F65" s="2">
        <v>110.66</v>
      </c>
      <c r="G65" t="s">
        <v>69</v>
      </c>
      <c r="H65" t="s">
        <v>14</v>
      </c>
      <c r="I65" t="s">
        <v>14</v>
      </c>
    </row>
    <row r="66" spans="1:9">
      <c r="A66" t="s">
        <v>121</v>
      </c>
      <c r="B66" t="s">
        <v>67</v>
      </c>
      <c r="C66" t="s">
        <v>122</v>
      </c>
      <c r="D66" s="1">
        <v>19.81</v>
      </c>
      <c r="E66" s="2">
        <v>4.85</v>
      </c>
      <c r="F66" s="2">
        <v>96.08</v>
      </c>
      <c r="G66" t="s">
        <v>69</v>
      </c>
      <c r="H66" t="s">
        <v>14</v>
      </c>
      <c r="I66" t="s">
        <v>14</v>
      </c>
    </row>
    <row r="67" spans="1:9">
      <c r="A67" t="s">
        <v>123</v>
      </c>
      <c r="B67" t="s">
        <v>67</v>
      </c>
      <c r="C67" t="s">
        <v>124</v>
      </c>
      <c r="D67" s="1">
        <v>19.68</v>
      </c>
      <c r="E67" s="2">
        <v>7</v>
      </c>
      <c r="F67" s="2">
        <v>137.76</v>
      </c>
      <c r="G67" t="s">
        <v>69</v>
      </c>
      <c r="H67" t="s">
        <v>14</v>
      </c>
      <c r="I67" t="s">
        <v>14</v>
      </c>
    </row>
    <row r="68" spans="1:9">
      <c r="A68" t="s">
        <v>125</v>
      </c>
      <c r="B68" t="s">
        <v>67</v>
      </c>
      <c r="C68" t="s">
        <v>126</v>
      </c>
      <c r="D68" s="1">
        <v>19.73</v>
      </c>
      <c r="E68" s="2">
        <v>3.6</v>
      </c>
      <c r="F68" s="2">
        <v>71.03</v>
      </c>
      <c r="G68" t="s">
        <v>69</v>
      </c>
      <c r="H68" t="s">
        <v>14</v>
      </c>
      <c r="I68" t="s">
        <v>14</v>
      </c>
    </row>
    <row r="69" spans="1:9">
      <c r="A69" t="s">
        <v>127</v>
      </c>
      <c r="B69" t="s">
        <v>128</v>
      </c>
      <c r="C69" t="s">
        <v>129</v>
      </c>
      <c r="D69" s="1">
        <v>19.64</v>
      </c>
      <c r="E69" s="2">
        <v>6.1</v>
      </c>
      <c r="F69" s="2">
        <v>119.8</v>
      </c>
      <c r="G69" t="s">
        <v>130</v>
      </c>
      <c r="H69" t="s">
        <v>14</v>
      </c>
      <c r="I69" t="s">
        <v>14</v>
      </c>
    </row>
    <row r="70" spans="1:9">
      <c r="A70" t="s">
        <v>131</v>
      </c>
      <c r="B70" t="s">
        <v>128</v>
      </c>
      <c r="C70" t="s">
        <v>75</v>
      </c>
      <c r="D70" s="1">
        <v>19.8</v>
      </c>
      <c r="E70" s="2">
        <v>5.85</v>
      </c>
      <c r="F70" s="2">
        <v>115.83</v>
      </c>
      <c r="G70" t="s">
        <v>130</v>
      </c>
      <c r="H70" t="s">
        <v>14</v>
      </c>
      <c r="I70" t="s">
        <v>14</v>
      </c>
    </row>
    <row r="71" spans="1:9">
      <c r="A71" t="s">
        <v>132</v>
      </c>
      <c r="B71" t="s">
        <v>128</v>
      </c>
      <c r="C71" t="s">
        <v>71</v>
      </c>
      <c r="D71" s="1">
        <v>19.66</v>
      </c>
      <c r="E71" s="2">
        <v>5.85</v>
      </c>
      <c r="F71" s="2">
        <v>115.01</v>
      </c>
      <c r="G71" t="s">
        <v>130</v>
      </c>
      <c r="H71" t="s">
        <v>14</v>
      </c>
      <c r="I71" t="s">
        <v>14</v>
      </c>
    </row>
    <row r="72" spans="1:9">
      <c r="A72" t="s">
        <v>133</v>
      </c>
      <c r="B72" t="s">
        <v>128</v>
      </c>
      <c r="C72" t="s">
        <v>75</v>
      </c>
      <c r="D72" s="1">
        <v>19.66</v>
      </c>
      <c r="E72" s="2">
        <v>5.85</v>
      </c>
      <c r="F72" s="2">
        <v>115.01</v>
      </c>
      <c r="G72" t="s">
        <v>130</v>
      </c>
      <c r="H72" t="s">
        <v>14</v>
      </c>
      <c r="I72" t="s">
        <v>14</v>
      </c>
    </row>
    <row r="73" spans="1:9">
      <c r="A73" t="s">
        <v>134</v>
      </c>
      <c r="B73" t="s">
        <v>128</v>
      </c>
      <c r="C73" t="s">
        <v>135</v>
      </c>
      <c r="D73" s="1">
        <v>20.08</v>
      </c>
      <c r="E73" s="2">
        <v>5.6</v>
      </c>
      <c r="F73" s="2">
        <v>112.45</v>
      </c>
      <c r="G73" t="s">
        <v>130</v>
      </c>
      <c r="H73" t="s">
        <v>14</v>
      </c>
      <c r="I73" t="s">
        <v>14</v>
      </c>
    </row>
    <row r="74" spans="1:9">
      <c r="A74" t="s">
        <v>136</v>
      </c>
      <c r="B74" t="s">
        <v>128</v>
      </c>
      <c r="C74" t="s">
        <v>84</v>
      </c>
      <c r="D74" s="1">
        <v>20.02</v>
      </c>
      <c r="E74" s="2">
        <v>6.3</v>
      </c>
      <c r="F74" s="2">
        <v>126.13</v>
      </c>
      <c r="G74" t="s">
        <v>130</v>
      </c>
      <c r="H74" t="s">
        <v>14</v>
      </c>
      <c r="I74" t="s">
        <v>14</v>
      </c>
    </row>
    <row r="75" spans="1:9">
      <c r="A75" t="s">
        <v>137</v>
      </c>
      <c r="B75" t="s">
        <v>128</v>
      </c>
      <c r="C75" t="s">
        <v>106</v>
      </c>
      <c r="D75" s="1">
        <v>20.01</v>
      </c>
      <c r="E75" s="2">
        <v>4.45</v>
      </c>
      <c r="F75" s="2">
        <v>89.04</v>
      </c>
      <c r="G75" t="s">
        <v>130</v>
      </c>
      <c r="H75" t="s">
        <v>14</v>
      </c>
      <c r="I75" t="s">
        <v>14</v>
      </c>
    </row>
    <row r="76" spans="1:9">
      <c r="A76" t="s">
        <v>138</v>
      </c>
      <c r="B76" t="s">
        <v>128</v>
      </c>
      <c r="C76" t="s">
        <v>139</v>
      </c>
      <c r="D76" s="1">
        <v>20.03</v>
      </c>
      <c r="E76" s="2">
        <v>3.6</v>
      </c>
      <c r="F76" s="2">
        <v>72.11</v>
      </c>
      <c r="G76" t="s">
        <v>130</v>
      </c>
      <c r="H76" t="s">
        <v>14</v>
      </c>
      <c r="I76" t="s">
        <v>14</v>
      </c>
    </row>
    <row r="77" spans="1:9">
      <c r="A77" t="s">
        <v>140</v>
      </c>
      <c r="B77" t="s">
        <v>128</v>
      </c>
      <c r="C77" t="s">
        <v>77</v>
      </c>
      <c r="D77" s="1">
        <v>20.05</v>
      </c>
      <c r="E77" s="2">
        <v>3.6</v>
      </c>
      <c r="F77" s="2">
        <v>72.18</v>
      </c>
      <c r="G77" t="s">
        <v>130</v>
      </c>
      <c r="H77" t="s">
        <v>14</v>
      </c>
      <c r="I77" t="s">
        <v>14</v>
      </c>
    </row>
    <row r="78" spans="1:9">
      <c r="A78" t="s">
        <v>141</v>
      </c>
      <c r="B78" t="s">
        <v>128</v>
      </c>
      <c r="C78" t="s">
        <v>142</v>
      </c>
      <c r="D78" s="1">
        <v>20.06</v>
      </c>
      <c r="E78" s="2">
        <v>5.1</v>
      </c>
      <c r="F78" s="2">
        <v>102.31</v>
      </c>
      <c r="G78" t="s">
        <v>130</v>
      </c>
      <c r="H78" t="s">
        <v>14</v>
      </c>
      <c r="I78" t="s">
        <v>14</v>
      </c>
    </row>
    <row r="79" spans="1:9">
      <c r="A79" t="s">
        <v>143</v>
      </c>
      <c r="B79" t="s">
        <v>128</v>
      </c>
      <c r="C79" t="s">
        <v>144</v>
      </c>
      <c r="D79" s="1">
        <v>20.04</v>
      </c>
      <c r="E79" s="2">
        <v>6.3</v>
      </c>
      <c r="F79" s="2">
        <v>126.25</v>
      </c>
      <c r="G79" t="s">
        <v>130</v>
      </c>
      <c r="H79" t="s">
        <v>14</v>
      </c>
      <c r="I79" t="s">
        <v>14</v>
      </c>
    </row>
    <row r="80" spans="1:9">
      <c r="A80" t="s">
        <v>145</v>
      </c>
      <c r="B80" t="s">
        <v>128</v>
      </c>
      <c r="C80" t="s">
        <v>110</v>
      </c>
      <c r="D80" s="1">
        <v>20.12</v>
      </c>
      <c r="E80" s="2">
        <v>6.1</v>
      </c>
      <c r="F80" s="2">
        <v>122.73</v>
      </c>
      <c r="G80" t="s">
        <v>130</v>
      </c>
      <c r="H80" t="s">
        <v>14</v>
      </c>
      <c r="I80" t="s">
        <v>14</v>
      </c>
    </row>
    <row r="81" spans="1:9">
      <c r="A81" t="s">
        <v>146</v>
      </c>
      <c r="B81" t="s">
        <v>128</v>
      </c>
      <c r="C81" t="s">
        <v>77</v>
      </c>
      <c r="D81" s="1">
        <v>20.2</v>
      </c>
      <c r="E81" s="2">
        <v>3.6</v>
      </c>
      <c r="F81" s="2">
        <v>72.72</v>
      </c>
      <c r="G81" t="s">
        <v>130</v>
      </c>
      <c r="H81" t="s">
        <v>14</v>
      </c>
      <c r="I81" t="s">
        <v>14</v>
      </c>
    </row>
    <row r="82" spans="1:9">
      <c r="A82" t="s">
        <v>147</v>
      </c>
      <c r="B82" t="s">
        <v>128</v>
      </c>
      <c r="C82" t="s">
        <v>77</v>
      </c>
      <c r="D82" s="1">
        <v>20.03</v>
      </c>
      <c r="E82" s="2">
        <v>3.6</v>
      </c>
      <c r="F82" s="2">
        <v>72.11</v>
      </c>
      <c r="G82" t="s">
        <v>130</v>
      </c>
      <c r="H82" t="s">
        <v>14</v>
      </c>
      <c r="I82" t="s">
        <v>14</v>
      </c>
    </row>
    <row r="83" spans="1:9">
      <c r="A83" t="s">
        <v>148</v>
      </c>
      <c r="B83" t="s">
        <v>128</v>
      </c>
      <c r="C83" t="s">
        <v>90</v>
      </c>
      <c r="D83" s="1">
        <v>20.14</v>
      </c>
      <c r="E83" s="2">
        <v>3.6</v>
      </c>
      <c r="F83" s="2">
        <v>72.5</v>
      </c>
      <c r="G83" t="s">
        <v>130</v>
      </c>
      <c r="H83" t="s">
        <v>14</v>
      </c>
      <c r="I83" t="s">
        <v>14</v>
      </c>
    </row>
    <row r="84" spans="1:9">
      <c r="A84" t="s">
        <v>149</v>
      </c>
      <c r="B84" t="s">
        <v>128</v>
      </c>
      <c r="C84" t="s">
        <v>110</v>
      </c>
      <c r="D84" s="1">
        <v>20.1</v>
      </c>
      <c r="E84" s="2">
        <v>6.1</v>
      </c>
      <c r="F84" s="2">
        <v>122.61</v>
      </c>
      <c r="G84" t="s">
        <v>130</v>
      </c>
      <c r="H84" t="s">
        <v>14</v>
      </c>
      <c r="I84" t="s">
        <v>14</v>
      </c>
    </row>
    <row r="85" spans="1:9">
      <c r="A85" t="s">
        <v>150</v>
      </c>
      <c r="B85" t="s">
        <v>128</v>
      </c>
      <c r="C85" t="s">
        <v>108</v>
      </c>
      <c r="D85" s="1">
        <v>20.14</v>
      </c>
      <c r="E85" s="2">
        <v>5.6</v>
      </c>
      <c r="F85" s="2">
        <v>112.78</v>
      </c>
      <c r="G85" t="s">
        <v>130</v>
      </c>
      <c r="H85" t="s">
        <v>14</v>
      </c>
      <c r="I85" t="s">
        <v>14</v>
      </c>
    </row>
    <row r="86" spans="1:9">
      <c r="A86" t="s">
        <v>151</v>
      </c>
      <c r="B86" t="s">
        <v>128</v>
      </c>
      <c r="C86" t="s">
        <v>152</v>
      </c>
      <c r="D86" s="1">
        <v>20.02</v>
      </c>
      <c r="E86" s="2">
        <v>5.85</v>
      </c>
      <c r="F86" s="2">
        <v>117.12</v>
      </c>
      <c r="G86" t="s">
        <v>130</v>
      </c>
      <c r="H86" t="s">
        <v>14</v>
      </c>
      <c r="I86" t="s">
        <v>14</v>
      </c>
    </row>
    <row r="87" spans="1:9">
      <c r="A87" t="s">
        <v>153</v>
      </c>
      <c r="B87" t="s">
        <v>128</v>
      </c>
      <c r="C87" t="s">
        <v>154</v>
      </c>
      <c r="D87" s="1">
        <v>20.01</v>
      </c>
      <c r="E87" s="2">
        <v>4.3</v>
      </c>
      <c r="F87" s="2">
        <v>86.04</v>
      </c>
      <c r="G87" t="s">
        <v>130</v>
      </c>
      <c r="H87" t="s">
        <v>14</v>
      </c>
      <c r="I87" t="s">
        <v>14</v>
      </c>
    </row>
    <row r="88" spans="1:9">
      <c r="A88" t="s">
        <v>155</v>
      </c>
      <c r="B88" t="s">
        <v>128</v>
      </c>
      <c r="C88" t="s">
        <v>144</v>
      </c>
      <c r="D88" s="1">
        <v>20.2</v>
      </c>
      <c r="E88" s="2">
        <v>6.3</v>
      </c>
      <c r="F88" s="2">
        <v>127.26</v>
      </c>
      <c r="G88" t="s">
        <v>130</v>
      </c>
      <c r="H88" t="s">
        <v>14</v>
      </c>
      <c r="I88" t="s">
        <v>14</v>
      </c>
    </row>
    <row r="89" spans="1:9">
      <c r="A89" t="s">
        <v>156</v>
      </c>
      <c r="B89" t="s">
        <v>128</v>
      </c>
      <c r="C89" t="s">
        <v>110</v>
      </c>
      <c r="D89" s="1">
        <v>20.03</v>
      </c>
      <c r="E89" s="2">
        <v>6.1</v>
      </c>
      <c r="F89" s="2">
        <v>122.18</v>
      </c>
      <c r="G89" t="s">
        <v>130</v>
      </c>
      <c r="H89" t="s">
        <v>14</v>
      </c>
      <c r="I89" t="s">
        <v>14</v>
      </c>
    </row>
    <row r="90" spans="1:9">
      <c r="A90" t="s">
        <v>157</v>
      </c>
      <c r="B90" t="s">
        <v>128</v>
      </c>
      <c r="C90" t="s">
        <v>108</v>
      </c>
      <c r="D90" s="1">
        <v>20.08</v>
      </c>
      <c r="E90" s="2">
        <v>5.6</v>
      </c>
      <c r="F90" s="2">
        <v>112.45</v>
      </c>
      <c r="G90" t="s">
        <v>130</v>
      </c>
      <c r="H90" t="s">
        <v>14</v>
      </c>
      <c r="I90" t="s">
        <v>14</v>
      </c>
    </row>
    <row r="91" spans="1:9">
      <c r="A91" t="s">
        <v>158</v>
      </c>
      <c r="B91" t="s">
        <v>128</v>
      </c>
      <c r="C91" t="s">
        <v>159</v>
      </c>
      <c r="D91" s="1">
        <v>20.13</v>
      </c>
      <c r="E91" s="2">
        <v>5.35</v>
      </c>
      <c r="F91" s="2">
        <v>107.7</v>
      </c>
      <c r="G91" t="s">
        <v>130</v>
      </c>
      <c r="H91" t="s">
        <v>14</v>
      </c>
      <c r="I91" t="s">
        <v>14</v>
      </c>
    </row>
    <row r="92" spans="1:9">
      <c r="A92" t="s">
        <v>160</v>
      </c>
      <c r="B92" t="s">
        <v>128</v>
      </c>
      <c r="C92" t="s">
        <v>161</v>
      </c>
      <c r="D92" s="1">
        <v>20.18</v>
      </c>
      <c r="E92" s="2">
        <v>4.85</v>
      </c>
      <c r="F92" s="2">
        <v>97.87</v>
      </c>
      <c r="G92" t="s">
        <v>130</v>
      </c>
      <c r="H92" t="s">
        <v>14</v>
      </c>
      <c r="I92" t="s">
        <v>14</v>
      </c>
    </row>
    <row r="93" spans="1:9">
      <c r="A93" t="s">
        <v>162</v>
      </c>
      <c r="B93" t="s">
        <v>128</v>
      </c>
      <c r="C93" t="s">
        <v>163</v>
      </c>
      <c r="D93" s="1">
        <v>20.01</v>
      </c>
      <c r="E93" s="2">
        <v>4.45</v>
      </c>
      <c r="F93" s="2">
        <v>89.04</v>
      </c>
      <c r="G93" t="s">
        <v>130</v>
      </c>
      <c r="H93" t="s">
        <v>14</v>
      </c>
      <c r="I93" t="s">
        <v>14</v>
      </c>
    </row>
    <row r="94" spans="1:9">
      <c r="A94" t="s">
        <v>164</v>
      </c>
      <c r="B94" t="s">
        <v>128</v>
      </c>
      <c r="C94" t="s">
        <v>165</v>
      </c>
      <c r="D94" s="1">
        <v>20.11</v>
      </c>
      <c r="E94" s="2">
        <v>4.45</v>
      </c>
      <c r="F94" s="2">
        <v>89.49</v>
      </c>
      <c r="G94" t="s">
        <v>130</v>
      </c>
      <c r="H94" t="s">
        <v>14</v>
      </c>
      <c r="I94" t="s">
        <v>14</v>
      </c>
    </row>
    <row r="95" spans="1:9">
      <c r="A95" t="s">
        <v>166</v>
      </c>
      <c r="B95" t="s">
        <v>128</v>
      </c>
      <c r="C95" t="s">
        <v>118</v>
      </c>
      <c r="D95" s="1">
        <v>20.03</v>
      </c>
      <c r="E95" s="2">
        <v>5.05</v>
      </c>
      <c r="F95" s="2">
        <v>101.15</v>
      </c>
      <c r="G95" t="s">
        <v>130</v>
      </c>
      <c r="H95" t="s">
        <v>14</v>
      </c>
      <c r="I95" t="s">
        <v>14</v>
      </c>
    </row>
    <row r="96" spans="1:9">
      <c r="A96" t="s">
        <v>167</v>
      </c>
      <c r="B96" t="s">
        <v>128</v>
      </c>
      <c r="C96" t="s">
        <v>168</v>
      </c>
      <c r="D96" s="1">
        <v>20.08</v>
      </c>
      <c r="E96" s="2">
        <v>5.85</v>
      </c>
      <c r="F96" s="2">
        <v>117.47</v>
      </c>
      <c r="G96" t="s">
        <v>130</v>
      </c>
      <c r="H96" t="s">
        <v>14</v>
      </c>
      <c r="I96" t="s">
        <v>14</v>
      </c>
    </row>
    <row r="97" spans="1:9">
      <c r="A97" t="s">
        <v>169</v>
      </c>
      <c r="B97" t="s">
        <v>128</v>
      </c>
      <c r="C97" t="s">
        <v>170</v>
      </c>
      <c r="D97" s="1">
        <v>20.08</v>
      </c>
      <c r="E97" s="2">
        <v>5.85</v>
      </c>
      <c r="F97" s="2">
        <v>117.47</v>
      </c>
      <c r="G97" t="s">
        <v>130</v>
      </c>
      <c r="H97" t="s">
        <v>14</v>
      </c>
      <c r="I97" t="s">
        <v>14</v>
      </c>
    </row>
    <row r="98" spans="1:9">
      <c r="A98" t="s">
        <v>171</v>
      </c>
      <c r="B98" t="s">
        <v>128</v>
      </c>
      <c r="C98" t="s">
        <v>172</v>
      </c>
      <c r="D98" s="1">
        <v>20.11</v>
      </c>
      <c r="E98" s="2">
        <v>3.6</v>
      </c>
      <c r="F98" s="2">
        <v>72.4</v>
      </c>
      <c r="G98" t="s">
        <v>130</v>
      </c>
      <c r="H98" t="s">
        <v>14</v>
      </c>
      <c r="I98" t="s">
        <v>14</v>
      </c>
    </row>
    <row r="99" spans="1:9">
      <c r="A99" t="s">
        <v>173</v>
      </c>
      <c r="B99" t="s">
        <v>174</v>
      </c>
      <c r="C99" t="s">
        <v>71</v>
      </c>
      <c r="D99" s="1">
        <v>18.35</v>
      </c>
      <c r="E99" s="2">
        <v>5.85</v>
      </c>
      <c r="F99" s="2">
        <v>107.35</v>
      </c>
      <c r="G99" t="s">
        <v>175</v>
      </c>
      <c r="H99" t="s">
        <v>14</v>
      </c>
      <c r="I99" t="s">
        <v>14</v>
      </c>
    </row>
    <row r="100" spans="1:9">
      <c r="A100" t="s">
        <v>176</v>
      </c>
      <c r="B100" t="s">
        <v>174</v>
      </c>
      <c r="C100" t="s">
        <v>71</v>
      </c>
      <c r="D100" s="1">
        <v>18.36</v>
      </c>
      <c r="E100" s="2">
        <v>5.85</v>
      </c>
      <c r="F100" s="2">
        <v>107.41</v>
      </c>
      <c r="G100" t="s">
        <v>175</v>
      </c>
      <c r="H100" t="s">
        <v>14</v>
      </c>
      <c r="I100" t="s">
        <v>14</v>
      </c>
    </row>
    <row r="101" spans="1:9">
      <c r="A101" t="s">
        <v>177</v>
      </c>
      <c r="B101" t="s">
        <v>174</v>
      </c>
      <c r="C101" t="s">
        <v>178</v>
      </c>
      <c r="D101" s="1">
        <v>18.49</v>
      </c>
      <c r="E101" s="2">
        <v>7.35</v>
      </c>
      <c r="F101" s="2">
        <v>135.9</v>
      </c>
      <c r="G101" t="s">
        <v>175</v>
      </c>
      <c r="H101" t="s">
        <v>14</v>
      </c>
      <c r="I101" t="s">
        <v>14</v>
      </c>
    </row>
    <row r="102" spans="1:9">
      <c r="A102" t="s">
        <v>179</v>
      </c>
      <c r="B102" t="s">
        <v>174</v>
      </c>
      <c r="C102" t="s">
        <v>77</v>
      </c>
      <c r="D102" s="1">
        <v>18.66</v>
      </c>
      <c r="E102" s="2">
        <v>3.6</v>
      </c>
      <c r="F102" s="2">
        <v>67.18</v>
      </c>
      <c r="G102" t="s">
        <v>175</v>
      </c>
      <c r="H102" t="s">
        <v>14</v>
      </c>
      <c r="I102" t="s">
        <v>14</v>
      </c>
    </row>
    <row r="103" spans="1:9">
      <c r="A103" t="s">
        <v>180</v>
      </c>
      <c r="B103" t="s">
        <v>174</v>
      </c>
      <c r="C103" t="s">
        <v>77</v>
      </c>
      <c r="D103" s="1">
        <v>18.69</v>
      </c>
      <c r="E103" s="2">
        <v>3.6</v>
      </c>
      <c r="F103" s="2">
        <v>67.28</v>
      </c>
      <c r="G103" t="s">
        <v>175</v>
      </c>
      <c r="H103" t="s">
        <v>14</v>
      </c>
      <c r="I103" t="s">
        <v>14</v>
      </c>
    </row>
    <row r="104" spans="1:9">
      <c r="A104" t="s">
        <v>181</v>
      </c>
      <c r="B104" t="s">
        <v>174</v>
      </c>
      <c r="C104" t="s">
        <v>142</v>
      </c>
      <c r="D104" s="1">
        <v>18.68</v>
      </c>
      <c r="E104" s="2">
        <v>5.1</v>
      </c>
      <c r="F104" s="2">
        <v>95.27</v>
      </c>
      <c r="G104" t="s">
        <v>175</v>
      </c>
      <c r="H104" t="s">
        <v>14</v>
      </c>
      <c r="I104" t="s">
        <v>14</v>
      </c>
    </row>
    <row r="105" spans="1:9">
      <c r="A105" t="s">
        <v>182</v>
      </c>
      <c r="B105" t="s">
        <v>174</v>
      </c>
      <c r="C105" t="s">
        <v>183</v>
      </c>
      <c r="D105" s="1">
        <v>18.68</v>
      </c>
      <c r="E105" s="2">
        <v>4.1</v>
      </c>
      <c r="F105" s="2">
        <v>76.59</v>
      </c>
      <c r="G105" t="s">
        <v>175</v>
      </c>
      <c r="H105" t="s">
        <v>14</v>
      </c>
      <c r="I105" t="s">
        <v>14</v>
      </c>
    </row>
    <row r="106" spans="1:9">
      <c r="A106" t="s">
        <v>184</v>
      </c>
      <c r="B106" t="s">
        <v>174</v>
      </c>
      <c r="C106" t="s">
        <v>185</v>
      </c>
      <c r="D106" s="1">
        <v>18.59</v>
      </c>
      <c r="E106" s="2">
        <v>4.85</v>
      </c>
      <c r="F106" s="2">
        <v>90.16</v>
      </c>
      <c r="G106" t="s">
        <v>175</v>
      </c>
      <c r="H106" t="s">
        <v>14</v>
      </c>
      <c r="I106" t="s">
        <v>14</v>
      </c>
    </row>
    <row r="107" spans="1:9">
      <c r="A107" t="s">
        <v>186</v>
      </c>
      <c r="B107" t="s">
        <v>174</v>
      </c>
      <c r="C107" t="s">
        <v>144</v>
      </c>
      <c r="D107" s="1">
        <v>18.66</v>
      </c>
      <c r="E107" s="2">
        <v>6.3</v>
      </c>
      <c r="F107" s="2">
        <v>117.56</v>
      </c>
      <c r="G107" t="s">
        <v>175</v>
      </c>
      <c r="H107" t="s">
        <v>14</v>
      </c>
      <c r="I107" t="s">
        <v>14</v>
      </c>
    </row>
    <row r="108" spans="1:9">
      <c r="A108" t="s">
        <v>187</v>
      </c>
      <c r="B108" t="s">
        <v>174</v>
      </c>
      <c r="C108" t="s">
        <v>88</v>
      </c>
      <c r="D108" s="1">
        <v>18.72</v>
      </c>
      <c r="E108" s="2">
        <v>5.6</v>
      </c>
      <c r="F108" s="2">
        <v>104.83</v>
      </c>
      <c r="G108" t="s">
        <v>175</v>
      </c>
      <c r="H108" t="s">
        <v>14</v>
      </c>
      <c r="I108" t="s">
        <v>14</v>
      </c>
    </row>
    <row r="109" spans="1:9">
      <c r="A109" t="s">
        <v>188</v>
      </c>
      <c r="B109" t="s">
        <v>174</v>
      </c>
      <c r="C109" t="s">
        <v>90</v>
      </c>
      <c r="D109" s="1">
        <v>18.73</v>
      </c>
      <c r="E109" s="2">
        <v>3.6</v>
      </c>
      <c r="F109" s="2">
        <v>67.43</v>
      </c>
      <c r="G109" t="s">
        <v>175</v>
      </c>
      <c r="H109" t="s">
        <v>14</v>
      </c>
      <c r="I109" t="s">
        <v>14</v>
      </c>
    </row>
    <row r="110" spans="1:9">
      <c r="A110" t="s">
        <v>189</v>
      </c>
      <c r="B110" t="s">
        <v>174</v>
      </c>
      <c r="C110" t="s">
        <v>106</v>
      </c>
      <c r="D110" s="1">
        <v>18.74</v>
      </c>
      <c r="E110" s="2">
        <v>4.45</v>
      </c>
      <c r="F110" s="2">
        <v>83.39</v>
      </c>
      <c r="G110" t="s">
        <v>175</v>
      </c>
      <c r="H110" t="s">
        <v>14</v>
      </c>
      <c r="I110" t="s">
        <v>14</v>
      </c>
    </row>
    <row r="111" spans="1:9">
      <c r="A111" t="s">
        <v>190</v>
      </c>
      <c r="B111" t="s">
        <v>174</v>
      </c>
      <c r="C111" t="s">
        <v>90</v>
      </c>
      <c r="D111" s="1">
        <v>18.69</v>
      </c>
      <c r="E111" s="2">
        <v>3.6</v>
      </c>
      <c r="F111" s="2">
        <v>67.28</v>
      </c>
      <c r="G111" t="s">
        <v>175</v>
      </c>
      <c r="H111" t="s">
        <v>14</v>
      </c>
      <c r="I111" t="s">
        <v>14</v>
      </c>
    </row>
    <row r="112" spans="1:9">
      <c r="A112" t="s">
        <v>191</v>
      </c>
      <c r="B112" t="s">
        <v>174</v>
      </c>
      <c r="C112" t="s">
        <v>110</v>
      </c>
      <c r="D112" s="1">
        <v>18.7</v>
      </c>
      <c r="E112" s="2">
        <v>6.1</v>
      </c>
      <c r="F112" s="2">
        <v>114.07</v>
      </c>
      <c r="G112" t="s">
        <v>175</v>
      </c>
      <c r="H112" t="s">
        <v>14</v>
      </c>
      <c r="I112" t="s">
        <v>14</v>
      </c>
    </row>
    <row r="113" spans="1:9">
      <c r="A113" t="s">
        <v>192</v>
      </c>
      <c r="B113" t="s">
        <v>174</v>
      </c>
      <c r="C113" t="s">
        <v>108</v>
      </c>
      <c r="D113" s="1">
        <v>18.64</v>
      </c>
      <c r="E113" s="2">
        <v>5.6</v>
      </c>
      <c r="F113" s="2">
        <v>104.38</v>
      </c>
      <c r="G113" t="s">
        <v>175</v>
      </c>
      <c r="H113" t="s">
        <v>14</v>
      </c>
      <c r="I113" t="s">
        <v>14</v>
      </c>
    </row>
    <row r="114" spans="1:9">
      <c r="A114" t="s">
        <v>193</v>
      </c>
      <c r="B114" t="s">
        <v>174</v>
      </c>
      <c r="C114" t="s">
        <v>144</v>
      </c>
      <c r="D114" s="1">
        <v>18.72</v>
      </c>
      <c r="E114" s="2">
        <v>6.3</v>
      </c>
      <c r="F114" s="2">
        <v>117.94</v>
      </c>
      <c r="G114" t="s">
        <v>175</v>
      </c>
      <c r="H114" t="s">
        <v>14</v>
      </c>
      <c r="I114" t="s">
        <v>14</v>
      </c>
    </row>
    <row r="115" spans="1:9">
      <c r="A115" t="s">
        <v>194</v>
      </c>
      <c r="B115" t="s">
        <v>174</v>
      </c>
      <c r="C115" t="s">
        <v>108</v>
      </c>
      <c r="D115" s="1">
        <v>18.62</v>
      </c>
      <c r="E115" s="2">
        <v>5.6</v>
      </c>
      <c r="F115" s="2">
        <v>104.27</v>
      </c>
      <c r="G115" t="s">
        <v>175</v>
      </c>
      <c r="H115" t="s">
        <v>14</v>
      </c>
      <c r="I115" t="s">
        <v>14</v>
      </c>
    </row>
    <row r="116" spans="1:9">
      <c r="A116" t="s">
        <v>195</v>
      </c>
      <c r="B116" t="s">
        <v>174</v>
      </c>
      <c r="C116" t="s">
        <v>196</v>
      </c>
      <c r="D116" s="1">
        <v>18.66</v>
      </c>
      <c r="E116" s="2">
        <v>4.85</v>
      </c>
      <c r="F116" s="2">
        <v>90.5</v>
      </c>
      <c r="G116" t="s">
        <v>175</v>
      </c>
      <c r="H116" t="s">
        <v>14</v>
      </c>
      <c r="I116" t="s">
        <v>14</v>
      </c>
    </row>
    <row r="117" spans="1:9">
      <c r="A117" t="s">
        <v>197</v>
      </c>
      <c r="B117" t="s">
        <v>174</v>
      </c>
      <c r="C117" t="s">
        <v>77</v>
      </c>
      <c r="D117" s="1">
        <v>18.73</v>
      </c>
      <c r="E117" s="2">
        <v>3.6</v>
      </c>
      <c r="F117" s="2">
        <v>67.43</v>
      </c>
      <c r="G117" t="s">
        <v>175</v>
      </c>
      <c r="H117" t="s">
        <v>14</v>
      </c>
      <c r="I117" t="s">
        <v>14</v>
      </c>
    </row>
    <row r="118" spans="1:9">
      <c r="A118" t="s">
        <v>198</v>
      </c>
      <c r="B118" t="s">
        <v>174</v>
      </c>
      <c r="C118" t="s">
        <v>108</v>
      </c>
      <c r="D118" s="1">
        <v>18.73</v>
      </c>
      <c r="E118" s="2">
        <v>5.6</v>
      </c>
      <c r="F118" s="2">
        <v>104.89</v>
      </c>
      <c r="G118" t="s">
        <v>175</v>
      </c>
      <c r="H118" t="s">
        <v>14</v>
      </c>
      <c r="I118" t="s">
        <v>14</v>
      </c>
    </row>
    <row r="119" spans="1:9">
      <c r="A119" t="s">
        <v>199</v>
      </c>
      <c r="B119" t="s">
        <v>200</v>
      </c>
      <c r="C119" t="s">
        <v>88</v>
      </c>
      <c r="D119" s="1">
        <v>20.1</v>
      </c>
      <c r="E119" s="2">
        <v>5.6</v>
      </c>
      <c r="F119" s="2">
        <v>112.56</v>
      </c>
      <c r="G119" t="s">
        <v>175</v>
      </c>
      <c r="H119" t="s">
        <v>14</v>
      </c>
      <c r="I119" t="s">
        <v>14</v>
      </c>
    </row>
    <row r="120" spans="1:9">
      <c r="A120" t="s">
        <v>201</v>
      </c>
      <c r="B120" t="s">
        <v>200</v>
      </c>
      <c r="C120" t="s">
        <v>90</v>
      </c>
      <c r="D120" s="1">
        <v>20.06</v>
      </c>
      <c r="E120" s="2">
        <v>3.6</v>
      </c>
      <c r="F120" s="2">
        <v>72.22</v>
      </c>
      <c r="G120" t="s">
        <v>175</v>
      </c>
      <c r="H120" t="s">
        <v>14</v>
      </c>
      <c r="I120" t="s">
        <v>14</v>
      </c>
    </row>
    <row r="121" spans="1:9">
      <c r="A121" t="s">
        <v>202</v>
      </c>
      <c r="B121" t="s">
        <v>203</v>
      </c>
      <c r="C121" t="s">
        <v>204</v>
      </c>
      <c r="D121" s="1">
        <v>19.29</v>
      </c>
      <c r="E121" s="2">
        <v>4.3</v>
      </c>
      <c r="F121" s="2">
        <v>82.95</v>
      </c>
      <c r="G121" t="s">
        <v>205</v>
      </c>
      <c r="H121" t="s">
        <v>14</v>
      </c>
      <c r="I121" t="s">
        <v>14</v>
      </c>
    </row>
    <row r="122" spans="1:9">
      <c r="A122" t="s">
        <v>206</v>
      </c>
      <c r="B122" t="s">
        <v>203</v>
      </c>
      <c r="C122" t="s">
        <v>207</v>
      </c>
      <c r="D122" s="1">
        <v>19.28</v>
      </c>
      <c r="E122" s="2">
        <v>4.3</v>
      </c>
      <c r="F122" s="2">
        <v>82.9</v>
      </c>
      <c r="G122" t="s">
        <v>205</v>
      </c>
      <c r="H122" t="s">
        <v>14</v>
      </c>
      <c r="I122" t="s">
        <v>14</v>
      </c>
    </row>
    <row r="123" spans="1:9">
      <c r="A123" t="s">
        <v>208</v>
      </c>
      <c r="B123" t="s">
        <v>203</v>
      </c>
      <c r="C123" t="s">
        <v>209</v>
      </c>
      <c r="D123" s="1">
        <v>19.44</v>
      </c>
      <c r="E123" s="2">
        <v>4.45</v>
      </c>
      <c r="F123" s="2">
        <v>86.51</v>
      </c>
      <c r="G123" t="s">
        <v>205</v>
      </c>
      <c r="H123" t="s">
        <v>14</v>
      </c>
      <c r="I123" t="s">
        <v>14</v>
      </c>
    </row>
    <row r="124" spans="1:9">
      <c r="A124" t="s">
        <v>210</v>
      </c>
      <c r="B124" t="s">
        <v>203</v>
      </c>
      <c r="C124" t="s">
        <v>211</v>
      </c>
      <c r="D124" s="1">
        <v>19.34</v>
      </c>
      <c r="E124" s="2">
        <v>4.85</v>
      </c>
      <c r="F124" s="2">
        <v>93.8</v>
      </c>
      <c r="G124" t="s">
        <v>205</v>
      </c>
      <c r="H124" t="s">
        <v>14</v>
      </c>
      <c r="I124" t="s">
        <v>14</v>
      </c>
    </row>
    <row r="125" spans="1:9">
      <c r="A125" t="s">
        <v>212</v>
      </c>
      <c r="B125" t="s">
        <v>203</v>
      </c>
      <c r="C125" t="s">
        <v>213</v>
      </c>
      <c r="D125" s="1">
        <v>19.3</v>
      </c>
      <c r="E125" s="2">
        <v>5.35</v>
      </c>
      <c r="F125" s="2">
        <v>103.26</v>
      </c>
      <c r="G125" t="s">
        <v>205</v>
      </c>
      <c r="H125" t="s">
        <v>14</v>
      </c>
      <c r="I125" t="s">
        <v>14</v>
      </c>
    </row>
    <row r="126" spans="1:9">
      <c r="A126" t="s">
        <v>214</v>
      </c>
      <c r="B126" t="s">
        <v>203</v>
      </c>
      <c r="C126" t="s">
        <v>215</v>
      </c>
      <c r="D126" s="1">
        <v>19.29</v>
      </c>
      <c r="E126" s="2">
        <v>6.1</v>
      </c>
      <c r="F126" s="2">
        <v>117.67</v>
      </c>
      <c r="G126" t="s">
        <v>205</v>
      </c>
      <c r="H126" t="s">
        <v>14</v>
      </c>
      <c r="I126" t="s">
        <v>14</v>
      </c>
    </row>
    <row r="127" spans="1:9">
      <c r="A127" t="s">
        <v>216</v>
      </c>
      <c r="B127" t="s">
        <v>203</v>
      </c>
      <c r="C127" t="s">
        <v>217</v>
      </c>
      <c r="D127" s="1">
        <v>19.39</v>
      </c>
      <c r="E127" s="2">
        <v>6.3</v>
      </c>
      <c r="F127" s="2">
        <v>122.16</v>
      </c>
      <c r="G127" t="s">
        <v>205</v>
      </c>
      <c r="H127" t="s">
        <v>14</v>
      </c>
      <c r="I127" t="s">
        <v>14</v>
      </c>
    </row>
    <row r="128" spans="1:9">
      <c r="A128" t="s">
        <v>218</v>
      </c>
      <c r="B128" t="s">
        <v>203</v>
      </c>
      <c r="C128" t="s">
        <v>219</v>
      </c>
      <c r="D128" s="1">
        <v>19.31</v>
      </c>
      <c r="E128" s="2">
        <v>3.25</v>
      </c>
      <c r="F128" s="2">
        <v>62.76</v>
      </c>
      <c r="G128" t="s">
        <v>205</v>
      </c>
      <c r="H128" t="s">
        <v>14</v>
      </c>
      <c r="I128" t="s">
        <v>14</v>
      </c>
    </row>
    <row r="129" spans="1:9">
      <c r="A129" t="s">
        <v>220</v>
      </c>
      <c r="B129" t="s">
        <v>203</v>
      </c>
      <c r="C129" t="s">
        <v>221</v>
      </c>
      <c r="D129" s="1">
        <v>19.31</v>
      </c>
      <c r="E129" s="2">
        <v>4.3</v>
      </c>
      <c r="F129" s="2">
        <v>83.03</v>
      </c>
      <c r="G129" t="s">
        <v>205</v>
      </c>
      <c r="H129" t="s">
        <v>14</v>
      </c>
      <c r="I129" t="s">
        <v>14</v>
      </c>
    </row>
    <row r="130" spans="1:9">
      <c r="A130" t="s">
        <v>222</v>
      </c>
      <c r="B130" t="s">
        <v>203</v>
      </c>
      <c r="C130" t="s">
        <v>217</v>
      </c>
      <c r="D130" s="1">
        <v>19.28</v>
      </c>
      <c r="E130" s="2">
        <v>6.3</v>
      </c>
      <c r="F130" s="2">
        <v>121.46</v>
      </c>
      <c r="G130" t="s">
        <v>205</v>
      </c>
      <c r="H130" t="s">
        <v>14</v>
      </c>
      <c r="I130" t="s">
        <v>14</v>
      </c>
    </row>
    <row r="131" spans="1:9">
      <c r="A131" t="s">
        <v>223</v>
      </c>
      <c r="B131" t="s">
        <v>203</v>
      </c>
      <c r="C131" t="s">
        <v>224</v>
      </c>
      <c r="D131" s="1">
        <v>19.31</v>
      </c>
      <c r="E131" s="2">
        <v>4.45</v>
      </c>
      <c r="F131" s="2">
        <v>85.93</v>
      </c>
      <c r="G131" t="s">
        <v>205</v>
      </c>
      <c r="H131" t="s">
        <v>14</v>
      </c>
      <c r="I131" t="s">
        <v>14</v>
      </c>
    </row>
    <row r="132" spans="1:9">
      <c r="A132" t="s">
        <v>225</v>
      </c>
      <c r="B132" t="s">
        <v>203</v>
      </c>
      <c r="C132" t="s">
        <v>226</v>
      </c>
      <c r="D132" s="1">
        <v>19.28</v>
      </c>
      <c r="E132" s="2">
        <v>5.6</v>
      </c>
      <c r="F132" s="2">
        <v>107.97</v>
      </c>
      <c r="G132" t="s">
        <v>205</v>
      </c>
      <c r="H132" t="s">
        <v>14</v>
      </c>
      <c r="I132" t="s">
        <v>14</v>
      </c>
    </row>
    <row r="133" spans="1:9">
      <c r="A133" t="s">
        <v>227</v>
      </c>
      <c r="B133" t="s">
        <v>203</v>
      </c>
      <c r="C133" t="s">
        <v>207</v>
      </c>
      <c r="D133" s="1">
        <v>19.22</v>
      </c>
      <c r="E133" s="2">
        <v>4.3</v>
      </c>
      <c r="F133" s="2">
        <v>82.65</v>
      </c>
      <c r="G133" t="s">
        <v>205</v>
      </c>
      <c r="H133" t="s">
        <v>14</v>
      </c>
      <c r="I133" t="s">
        <v>14</v>
      </c>
    </row>
    <row r="134" spans="1:9">
      <c r="A134" t="s">
        <v>228</v>
      </c>
      <c r="B134" t="s">
        <v>203</v>
      </c>
      <c r="C134" t="s">
        <v>229</v>
      </c>
      <c r="D134" s="1">
        <v>19.31</v>
      </c>
      <c r="E134" s="2">
        <v>4.45</v>
      </c>
      <c r="F134" s="2">
        <v>85.93</v>
      </c>
      <c r="G134" t="s">
        <v>205</v>
      </c>
      <c r="H134" t="s">
        <v>14</v>
      </c>
      <c r="I134" t="s">
        <v>14</v>
      </c>
    </row>
    <row r="135" spans="1:9">
      <c r="A135" t="s">
        <v>230</v>
      </c>
      <c r="B135" t="s">
        <v>203</v>
      </c>
      <c r="C135" t="s">
        <v>207</v>
      </c>
      <c r="D135" s="1">
        <v>19.27</v>
      </c>
      <c r="E135" s="2">
        <v>4.3</v>
      </c>
      <c r="F135" s="2">
        <v>82.86</v>
      </c>
      <c r="G135" t="s">
        <v>205</v>
      </c>
      <c r="H135" t="s">
        <v>14</v>
      </c>
      <c r="I135" t="s">
        <v>14</v>
      </c>
    </row>
    <row r="136" spans="1:9">
      <c r="A136" t="s">
        <v>231</v>
      </c>
      <c r="B136" t="s">
        <v>203</v>
      </c>
      <c r="C136" t="s">
        <v>215</v>
      </c>
      <c r="D136" s="1">
        <v>19.42</v>
      </c>
      <c r="E136" s="2">
        <v>6.1</v>
      </c>
      <c r="F136" s="2">
        <v>118.46</v>
      </c>
      <c r="G136" t="s">
        <v>205</v>
      </c>
      <c r="H136" t="s">
        <v>14</v>
      </c>
      <c r="I136" t="s">
        <v>14</v>
      </c>
    </row>
    <row r="137" spans="1:9">
      <c r="A137" t="s">
        <v>232</v>
      </c>
      <c r="B137" t="s">
        <v>203</v>
      </c>
      <c r="C137" t="s">
        <v>233</v>
      </c>
      <c r="D137" s="1">
        <v>19.38</v>
      </c>
      <c r="E137" s="2">
        <v>3.25</v>
      </c>
      <c r="F137" s="2">
        <v>62.98</v>
      </c>
      <c r="G137" t="s">
        <v>205</v>
      </c>
      <c r="H137" t="s">
        <v>14</v>
      </c>
      <c r="I137" t="s">
        <v>14</v>
      </c>
    </row>
    <row r="138" spans="1:9">
      <c r="A138" t="s">
        <v>234</v>
      </c>
      <c r="B138" t="s">
        <v>203</v>
      </c>
      <c r="C138" t="s">
        <v>235</v>
      </c>
      <c r="D138" s="1">
        <v>19.32</v>
      </c>
      <c r="E138" s="2">
        <v>6.1</v>
      </c>
      <c r="F138" s="2">
        <v>117.85</v>
      </c>
      <c r="G138" t="s">
        <v>205</v>
      </c>
      <c r="H138" t="s">
        <v>14</v>
      </c>
      <c r="I138" t="s">
        <v>14</v>
      </c>
    </row>
    <row r="139" spans="1:9">
      <c r="A139" t="s">
        <v>236</v>
      </c>
      <c r="B139" t="s">
        <v>203</v>
      </c>
      <c r="C139" t="s">
        <v>237</v>
      </c>
      <c r="D139" s="1">
        <v>19.42</v>
      </c>
      <c r="E139" s="2">
        <v>5.05</v>
      </c>
      <c r="F139" s="2">
        <v>98.07</v>
      </c>
      <c r="G139" t="s">
        <v>205</v>
      </c>
      <c r="H139" t="s">
        <v>14</v>
      </c>
      <c r="I139" t="s">
        <v>14</v>
      </c>
    </row>
    <row r="140" spans="1:9">
      <c r="A140" t="s">
        <v>238</v>
      </c>
      <c r="B140" t="s">
        <v>203</v>
      </c>
      <c r="C140" t="s">
        <v>217</v>
      </c>
      <c r="D140" s="1">
        <v>19.46</v>
      </c>
      <c r="E140" s="2">
        <v>6.3</v>
      </c>
      <c r="F140" s="2">
        <v>122.6</v>
      </c>
      <c r="G140" t="s">
        <v>205</v>
      </c>
      <c r="H140" t="s">
        <v>14</v>
      </c>
      <c r="I140" t="s">
        <v>14</v>
      </c>
    </row>
    <row r="141" spans="1:9">
      <c r="A141" t="s">
        <v>239</v>
      </c>
      <c r="B141" t="s">
        <v>203</v>
      </c>
      <c r="C141" t="s">
        <v>219</v>
      </c>
      <c r="D141" s="1">
        <v>19.34</v>
      </c>
      <c r="E141" s="2">
        <v>3.25</v>
      </c>
      <c r="F141" s="2">
        <v>62.86</v>
      </c>
      <c r="G141" t="s">
        <v>205</v>
      </c>
      <c r="H141" t="s">
        <v>14</v>
      </c>
      <c r="I141" t="s">
        <v>14</v>
      </c>
    </row>
    <row r="142" spans="1:9">
      <c r="A142" t="s">
        <v>240</v>
      </c>
      <c r="B142" t="s">
        <v>203</v>
      </c>
      <c r="C142" t="s">
        <v>221</v>
      </c>
      <c r="D142" s="1">
        <v>19.4</v>
      </c>
      <c r="E142" s="2">
        <v>4.3</v>
      </c>
      <c r="F142" s="2">
        <v>83.42</v>
      </c>
      <c r="G142" t="s">
        <v>205</v>
      </c>
      <c r="H142" t="s">
        <v>14</v>
      </c>
      <c r="I142" t="s">
        <v>14</v>
      </c>
    </row>
    <row r="143" spans="1:9">
      <c r="A143" t="s">
        <v>241</v>
      </c>
      <c r="B143" t="s">
        <v>203</v>
      </c>
      <c r="C143" t="s">
        <v>235</v>
      </c>
      <c r="D143" s="1">
        <v>19.38</v>
      </c>
      <c r="E143" s="2">
        <v>6.1</v>
      </c>
      <c r="F143" s="2">
        <v>118.22</v>
      </c>
      <c r="G143" t="s">
        <v>205</v>
      </c>
      <c r="H143" t="s">
        <v>14</v>
      </c>
      <c r="I143" t="s">
        <v>14</v>
      </c>
    </row>
    <row r="144" spans="1:9">
      <c r="A144" t="s">
        <v>242</v>
      </c>
      <c r="B144" t="s">
        <v>203</v>
      </c>
      <c r="C144" t="s">
        <v>224</v>
      </c>
      <c r="D144" s="1">
        <v>19.42</v>
      </c>
      <c r="E144" s="2">
        <v>4.45</v>
      </c>
      <c r="F144" s="2">
        <v>86.42</v>
      </c>
      <c r="G144" t="s">
        <v>205</v>
      </c>
      <c r="H144" t="s">
        <v>14</v>
      </c>
      <c r="I144" t="s">
        <v>14</v>
      </c>
    </row>
    <row r="145" spans="1:9">
      <c r="A145" t="s">
        <v>243</v>
      </c>
      <c r="B145" t="s">
        <v>203</v>
      </c>
      <c r="C145" t="s">
        <v>244</v>
      </c>
      <c r="D145" s="1">
        <v>19.34</v>
      </c>
      <c r="E145" s="2">
        <v>5.35</v>
      </c>
      <c r="F145" s="2">
        <v>103.47</v>
      </c>
      <c r="G145" t="s">
        <v>205</v>
      </c>
      <c r="H145" t="s">
        <v>14</v>
      </c>
      <c r="I145" t="s">
        <v>14</v>
      </c>
    </row>
    <row r="146" spans="1:9">
      <c r="A146" t="s">
        <v>245</v>
      </c>
      <c r="B146" t="s">
        <v>203</v>
      </c>
      <c r="C146" t="s">
        <v>229</v>
      </c>
      <c r="D146" s="1">
        <v>19.37</v>
      </c>
      <c r="E146" s="2">
        <v>4.45</v>
      </c>
      <c r="F146" s="2">
        <v>86.2</v>
      </c>
      <c r="G146" t="s">
        <v>205</v>
      </c>
      <c r="H146" t="s">
        <v>14</v>
      </c>
      <c r="I146" t="s">
        <v>14</v>
      </c>
    </row>
    <row r="147" spans="1:9">
      <c r="A147" t="s">
        <v>246</v>
      </c>
      <c r="B147" t="s">
        <v>203</v>
      </c>
      <c r="C147" t="s">
        <v>224</v>
      </c>
      <c r="D147" s="1">
        <v>19.42</v>
      </c>
      <c r="E147" s="2">
        <v>4.45</v>
      </c>
      <c r="F147" s="2">
        <v>86.42</v>
      </c>
      <c r="G147" t="s">
        <v>205</v>
      </c>
      <c r="H147" t="s">
        <v>14</v>
      </c>
      <c r="I147" t="s">
        <v>14</v>
      </c>
    </row>
    <row r="148" spans="1:9">
      <c r="A148" t="s">
        <v>247</v>
      </c>
      <c r="B148" t="s">
        <v>203</v>
      </c>
      <c r="C148" t="s">
        <v>248</v>
      </c>
      <c r="D148" s="1">
        <v>19.47</v>
      </c>
      <c r="E148" s="2">
        <v>5.85</v>
      </c>
      <c r="F148" s="2">
        <v>113.9</v>
      </c>
      <c r="G148" t="s">
        <v>205</v>
      </c>
      <c r="H148" t="s">
        <v>14</v>
      </c>
      <c r="I148" t="s">
        <v>14</v>
      </c>
    </row>
    <row r="149" spans="1:9">
      <c r="A149" t="s">
        <v>249</v>
      </c>
      <c r="B149" t="s">
        <v>203</v>
      </c>
      <c r="C149" t="s">
        <v>217</v>
      </c>
      <c r="D149" s="1">
        <v>19.4</v>
      </c>
      <c r="E149" s="2">
        <v>6.3</v>
      </c>
      <c r="F149" s="2">
        <v>122.22</v>
      </c>
      <c r="G149" t="s">
        <v>205</v>
      </c>
      <c r="H149" t="s">
        <v>14</v>
      </c>
      <c r="I149" t="s">
        <v>14</v>
      </c>
    </row>
    <row r="150" spans="1:9">
      <c r="A150" t="s">
        <v>250</v>
      </c>
      <c r="B150" t="s">
        <v>203</v>
      </c>
      <c r="C150" t="s">
        <v>219</v>
      </c>
      <c r="D150" s="1">
        <v>19.41</v>
      </c>
      <c r="E150" s="2">
        <v>3.25</v>
      </c>
      <c r="F150" s="2">
        <v>63.08</v>
      </c>
      <c r="G150" t="s">
        <v>205</v>
      </c>
      <c r="H150" t="s">
        <v>14</v>
      </c>
      <c r="I150" t="s">
        <v>14</v>
      </c>
    </row>
    <row r="151" spans="1:9">
      <c r="A151" t="s">
        <v>251</v>
      </c>
      <c r="B151" t="s">
        <v>203</v>
      </c>
      <c r="C151" t="s">
        <v>224</v>
      </c>
      <c r="D151" s="1">
        <v>19.4</v>
      </c>
      <c r="E151" s="2">
        <v>4.45</v>
      </c>
      <c r="F151" s="2">
        <v>86.33</v>
      </c>
      <c r="G151" t="s">
        <v>205</v>
      </c>
      <c r="H151" t="s">
        <v>14</v>
      </c>
      <c r="I151" t="s">
        <v>14</v>
      </c>
    </row>
    <row r="152" spans="1:9">
      <c r="A152" t="s">
        <v>252</v>
      </c>
      <c r="B152" t="s">
        <v>203</v>
      </c>
      <c r="C152" t="s">
        <v>253</v>
      </c>
      <c r="D152" s="1">
        <v>19.44</v>
      </c>
      <c r="E152" s="2">
        <v>5.85</v>
      </c>
      <c r="F152" s="2">
        <v>113.72</v>
      </c>
      <c r="G152" t="s">
        <v>205</v>
      </c>
      <c r="H152" t="s">
        <v>14</v>
      </c>
      <c r="I152" t="s">
        <v>14</v>
      </c>
    </row>
    <row r="153" spans="1:9">
      <c r="A153" t="s">
        <v>254</v>
      </c>
      <c r="B153" t="s">
        <v>203</v>
      </c>
      <c r="C153" t="s">
        <v>255</v>
      </c>
      <c r="D153" s="1">
        <v>19.44</v>
      </c>
      <c r="E153" s="2">
        <v>5.05</v>
      </c>
      <c r="F153" s="2">
        <v>98.17</v>
      </c>
      <c r="G153" t="s">
        <v>205</v>
      </c>
      <c r="H153" t="s">
        <v>14</v>
      </c>
      <c r="I153" t="s">
        <v>14</v>
      </c>
    </row>
    <row r="154" spans="1:9">
      <c r="A154" t="s">
        <v>256</v>
      </c>
      <c r="B154" t="s">
        <v>203</v>
      </c>
      <c r="C154" t="s">
        <v>224</v>
      </c>
      <c r="D154" s="1">
        <v>19.38</v>
      </c>
      <c r="E154" s="2">
        <v>4.45</v>
      </c>
      <c r="F154" s="2">
        <v>86.24</v>
      </c>
      <c r="G154" t="s">
        <v>205</v>
      </c>
      <c r="H154" t="s">
        <v>14</v>
      </c>
      <c r="I154" t="s">
        <v>14</v>
      </c>
    </row>
    <row r="155" spans="1:9">
      <c r="A155" t="s">
        <v>257</v>
      </c>
      <c r="B155" t="s">
        <v>203</v>
      </c>
      <c r="C155" t="s">
        <v>258</v>
      </c>
      <c r="D155" s="1">
        <v>19.34</v>
      </c>
      <c r="E155" s="2">
        <v>5.6</v>
      </c>
      <c r="F155" s="2">
        <v>108.3</v>
      </c>
      <c r="G155" t="s">
        <v>205</v>
      </c>
      <c r="H155" t="s">
        <v>14</v>
      </c>
      <c r="I155" t="s">
        <v>14</v>
      </c>
    </row>
    <row r="156" spans="1:9">
      <c r="A156" t="s">
        <v>259</v>
      </c>
      <c r="B156" t="s">
        <v>203</v>
      </c>
      <c r="C156" t="s">
        <v>204</v>
      </c>
      <c r="D156" s="1">
        <v>19.44</v>
      </c>
      <c r="E156" s="2">
        <v>4.3</v>
      </c>
      <c r="F156" s="2">
        <v>83.59</v>
      </c>
      <c r="G156" t="s">
        <v>205</v>
      </c>
      <c r="H156" t="s">
        <v>14</v>
      </c>
      <c r="I156" t="s">
        <v>14</v>
      </c>
    </row>
    <row r="157" spans="1:9">
      <c r="A157" t="s">
        <v>260</v>
      </c>
      <c r="B157" t="s">
        <v>203</v>
      </c>
      <c r="C157" t="s">
        <v>217</v>
      </c>
      <c r="D157" s="1">
        <v>19.4</v>
      </c>
      <c r="E157" s="2">
        <v>6.3</v>
      </c>
      <c r="F157" s="2">
        <v>122.22</v>
      </c>
      <c r="G157" t="s">
        <v>205</v>
      </c>
      <c r="H157" t="s">
        <v>14</v>
      </c>
      <c r="I157" t="s">
        <v>14</v>
      </c>
    </row>
    <row r="158" spans="1:9">
      <c r="A158" t="s">
        <v>261</v>
      </c>
      <c r="B158" t="s">
        <v>203</v>
      </c>
      <c r="C158" t="s">
        <v>224</v>
      </c>
      <c r="D158" s="1">
        <v>19.42</v>
      </c>
      <c r="E158" s="2">
        <v>4.45</v>
      </c>
      <c r="F158" s="2">
        <v>86.42</v>
      </c>
      <c r="G158" t="s">
        <v>205</v>
      </c>
      <c r="H158" t="s">
        <v>14</v>
      </c>
      <c r="I158" t="s">
        <v>14</v>
      </c>
    </row>
    <row r="159" spans="1:9">
      <c r="A159" t="s">
        <v>262</v>
      </c>
      <c r="B159" t="s">
        <v>203</v>
      </c>
      <c r="C159" t="s">
        <v>207</v>
      </c>
      <c r="D159" s="1">
        <v>19.42</v>
      </c>
      <c r="E159" s="2">
        <v>4.3</v>
      </c>
      <c r="F159" s="2">
        <v>83.51</v>
      </c>
      <c r="G159" t="s">
        <v>205</v>
      </c>
      <c r="H159" t="s">
        <v>14</v>
      </c>
      <c r="I159" t="s">
        <v>14</v>
      </c>
    </row>
    <row r="160" spans="1:9">
      <c r="A160" t="s">
        <v>263</v>
      </c>
      <c r="B160" t="s">
        <v>203</v>
      </c>
      <c r="C160" t="s">
        <v>264</v>
      </c>
      <c r="D160" s="1">
        <v>19.38</v>
      </c>
      <c r="E160" s="2">
        <v>5.35</v>
      </c>
      <c r="F160" s="2">
        <v>103.68</v>
      </c>
      <c r="G160" t="s">
        <v>205</v>
      </c>
      <c r="H160" t="s">
        <v>14</v>
      </c>
      <c r="I160" t="s">
        <v>14</v>
      </c>
    </row>
    <row r="161" spans="1:9">
      <c r="A161" t="s">
        <v>265</v>
      </c>
      <c r="B161" t="s">
        <v>266</v>
      </c>
      <c r="C161" t="s">
        <v>229</v>
      </c>
      <c r="D161" s="1">
        <v>17.68</v>
      </c>
      <c r="E161" s="2">
        <v>4.45</v>
      </c>
      <c r="F161" s="2">
        <v>78.68</v>
      </c>
      <c r="G161" t="s">
        <v>267</v>
      </c>
      <c r="H161" t="s">
        <v>14</v>
      </c>
      <c r="I161" t="s">
        <v>14</v>
      </c>
    </row>
    <row r="162" spans="1:9">
      <c r="A162" t="s">
        <v>268</v>
      </c>
      <c r="B162" t="s">
        <v>266</v>
      </c>
      <c r="C162" t="s">
        <v>269</v>
      </c>
      <c r="D162" s="1">
        <v>17.68</v>
      </c>
      <c r="E162" s="2">
        <v>4.2</v>
      </c>
      <c r="F162" s="2">
        <v>74.26</v>
      </c>
      <c r="G162" t="s">
        <v>267</v>
      </c>
      <c r="H162" t="s">
        <v>14</v>
      </c>
      <c r="I162" t="s">
        <v>14</v>
      </c>
    </row>
    <row r="163" spans="1:9">
      <c r="A163" t="s">
        <v>270</v>
      </c>
      <c r="B163" t="s">
        <v>266</v>
      </c>
      <c r="C163" t="s">
        <v>211</v>
      </c>
      <c r="D163" s="1">
        <v>17.69</v>
      </c>
      <c r="E163" s="2">
        <v>4.85</v>
      </c>
      <c r="F163" s="2">
        <v>85.8</v>
      </c>
      <c r="G163" t="s">
        <v>267</v>
      </c>
      <c r="H163" t="s">
        <v>14</v>
      </c>
      <c r="I163" t="s">
        <v>14</v>
      </c>
    </row>
    <row r="164" spans="1:9">
      <c r="A164" t="s">
        <v>271</v>
      </c>
      <c r="B164" t="s">
        <v>266</v>
      </c>
      <c r="C164" t="s">
        <v>219</v>
      </c>
      <c r="D164" s="1">
        <v>17.66</v>
      </c>
      <c r="E164" s="2">
        <v>3.25</v>
      </c>
      <c r="F164" s="2">
        <v>57.4</v>
      </c>
      <c r="G164" t="s">
        <v>267</v>
      </c>
      <c r="H164" t="s">
        <v>14</v>
      </c>
      <c r="I164" t="s">
        <v>14</v>
      </c>
    </row>
    <row r="165" spans="1:9">
      <c r="A165" t="s">
        <v>272</v>
      </c>
      <c r="B165" t="s">
        <v>266</v>
      </c>
      <c r="C165" t="s">
        <v>235</v>
      </c>
      <c r="D165" s="1">
        <v>17.65</v>
      </c>
      <c r="E165" s="2">
        <v>6.1</v>
      </c>
      <c r="F165" s="2">
        <v>107.66</v>
      </c>
      <c r="G165" t="s">
        <v>267</v>
      </c>
      <c r="H165" t="s">
        <v>14</v>
      </c>
      <c r="I165" t="s">
        <v>14</v>
      </c>
    </row>
    <row r="166" spans="1:9">
      <c r="A166" t="s">
        <v>273</v>
      </c>
      <c r="B166" t="s">
        <v>266</v>
      </c>
      <c r="C166" t="s">
        <v>274</v>
      </c>
      <c r="D166" s="1">
        <v>17.67</v>
      </c>
      <c r="E166" s="2">
        <v>8.15</v>
      </c>
      <c r="F166" s="2">
        <v>144.01</v>
      </c>
      <c r="G166" t="s">
        <v>267</v>
      </c>
      <c r="H166" t="s">
        <v>14</v>
      </c>
      <c r="I166" t="s">
        <v>14</v>
      </c>
    </row>
    <row r="167" spans="1:9">
      <c r="A167" t="s">
        <v>275</v>
      </c>
      <c r="B167" t="s">
        <v>266</v>
      </c>
      <c r="C167" t="s">
        <v>219</v>
      </c>
      <c r="D167" s="1">
        <v>17.66</v>
      </c>
      <c r="E167" s="2">
        <v>3.25</v>
      </c>
      <c r="F167" s="2">
        <v>57.4</v>
      </c>
      <c r="G167" t="s">
        <v>267</v>
      </c>
      <c r="H167" t="s">
        <v>14</v>
      </c>
      <c r="I167" t="s">
        <v>14</v>
      </c>
    </row>
    <row r="168" spans="1:9">
      <c r="A168" t="s">
        <v>276</v>
      </c>
      <c r="B168" t="s">
        <v>266</v>
      </c>
      <c r="C168" t="s">
        <v>226</v>
      </c>
      <c r="D168" s="1">
        <v>17.68</v>
      </c>
      <c r="E168" s="2">
        <v>5.6</v>
      </c>
      <c r="F168" s="2">
        <v>99.01</v>
      </c>
      <c r="G168" t="s">
        <v>267</v>
      </c>
      <c r="H168" t="s">
        <v>14</v>
      </c>
      <c r="I168" t="s">
        <v>14</v>
      </c>
    </row>
    <row r="169" spans="1:9">
      <c r="A169" t="s">
        <v>277</v>
      </c>
      <c r="B169" t="s">
        <v>266</v>
      </c>
      <c r="C169" t="s">
        <v>235</v>
      </c>
      <c r="D169" s="1">
        <v>17.73</v>
      </c>
      <c r="E169" s="2">
        <v>6.1</v>
      </c>
      <c r="F169" s="2">
        <v>108.15</v>
      </c>
      <c r="G169" t="s">
        <v>267</v>
      </c>
      <c r="H169" t="s">
        <v>14</v>
      </c>
      <c r="I169" t="s">
        <v>14</v>
      </c>
    </row>
    <row r="170" spans="1:9">
      <c r="A170" t="s">
        <v>278</v>
      </c>
      <c r="B170" t="s">
        <v>266</v>
      </c>
      <c r="C170" t="s">
        <v>207</v>
      </c>
      <c r="D170" s="1">
        <v>17.82</v>
      </c>
      <c r="E170" s="2">
        <v>4.3</v>
      </c>
      <c r="F170" s="2">
        <v>76.63</v>
      </c>
      <c r="G170" t="s">
        <v>267</v>
      </c>
      <c r="H170" t="s">
        <v>14</v>
      </c>
      <c r="I170" t="s">
        <v>14</v>
      </c>
    </row>
    <row r="171" spans="1:9">
      <c r="A171" t="s">
        <v>279</v>
      </c>
      <c r="B171" t="s">
        <v>266</v>
      </c>
      <c r="C171" t="s">
        <v>229</v>
      </c>
      <c r="D171" s="1">
        <v>17.77</v>
      </c>
      <c r="E171" s="2">
        <v>4.45</v>
      </c>
      <c r="F171" s="2">
        <v>79.08</v>
      </c>
      <c r="G171" t="s">
        <v>267</v>
      </c>
      <c r="H171" t="s">
        <v>14</v>
      </c>
      <c r="I171" t="s">
        <v>14</v>
      </c>
    </row>
    <row r="172" spans="1:9">
      <c r="A172" t="s">
        <v>280</v>
      </c>
      <c r="B172" t="s">
        <v>266</v>
      </c>
      <c r="C172" t="s">
        <v>281</v>
      </c>
      <c r="D172" s="1">
        <v>17.78</v>
      </c>
      <c r="E172" s="2">
        <v>4.85</v>
      </c>
      <c r="F172" s="2">
        <v>86.23</v>
      </c>
      <c r="G172" t="s">
        <v>267</v>
      </c>
      <c r="H172" t="s">
        <v>14</v>
      </c>
      <c r="I172" t="s">
        <v>14</v>
      </c>
    </row>
    <row r="173" spans="1:9">
      <c r="A173" t="s">
        <v>282</v>
      </c>
      <c r="B173" t="s">
        <v>266</v>
      </c>
      <c r="C173" t="s">
        <v>224</v>
      </c>
      <c r="D173" s="1">
        <v>17.72</v>
      </c>
      <c r="E173" s="2">
        <v>4.45</v>
      </c>
      <c r="F173" s="2">
        <v>78.85</v>
      </c>
      <c r="G173" t="s">
        <v>267</v>
      </c>
      <c r="H173" t="s">
        <v>14</v>
      </c>
      <c r="I173" t="s">
        <v>14</v>
      </c>
    </row>
    <row r="174" spans="1:9">
      <c r="A174" t="s">
        <v>283</v>
      </c>
      <c r="B174" t="s">
        <v>266</v>
      </c>
      <c r="C174" t="s">
        <v>284</v>
      </c>
      <c r="D174" s="1">
        <v>17.75</v>
      </c>
      <c r="E174" s="2">
        <v>5.05</v>
      </c>
      <c r="F174" s="2">
        <v>89.64</v>
      </c>
      <c r="G174" t="s">
        <v>267</v>
      </c>
      <c r="H174" t="s">
        <v>14</v>
      </c>
      <c r="I174" t="s">
        <v>14</v>
      </c>
    </row>
    <row r="175" spans="1:9">
      <c r="A175" t="s">
        <v>285</v>
      </c>
      <c r="B175" t="s">
        <v>266</v>
      </c>
      <c r="C175" t="s">
        <v>286</v>
      </c>
      <c r="D175" s="1">
        <v>17.78</v>
      </c>
      <c r="E175" s="2">
        <v>6.1</v>
      </c>
      <c r="F175" s="2">
        <v>108.46</v>
      </c>
      <c r="G175" t="s">
        <v>267</v>
      </c>
      <c r="H175" t="s">
        <v>14</v>
      </c>
      <c r="I175" t="s">
        <v>14</v>
      </c>
    </row>
    <row r="176" spans="1:9">
      <c r="A176" t="s">
        <v>287</v>
      </c>
      <c r="B176" t="s">
        <v>266</v>
      </c>
      <c r="C176" t="s">
        <v>288</v>
      </c>
      <c r="D176" s="1">
        <v>17.77</v>
      </c>
      <c r="E176" s="2">
        <v>6.1</v>
      </c>
      <c r="F176" s="2">
        <v>108.4</v>
      </c>
      <c r="G176" t="s">
        <v>267</v>
      </c>
      <c r="H176" t="s">
        <v>14</v>
      </c>
      <c r="I176" t="s">
        <v>14</v>
      </c>
    </row>
    <row r="177" spans="1:9">
      <c r="A177" t="s">
        <v>289</v>
      </c>
      <c r="B177" t="s">
        <v>266</v>
      </c>
      <c r="C177" t="s">
        <v>224</v>
      </c>
      <c r="D177" s="1">
        <v>17.81</v>
      </c>
      <c r="E177" s="2">
        <v>4.45</v>
      </c>
      <c r="F177" s="2">
        <v>79.25</v>
      </c>
      <c r="G177" t="s">
        <v>267</v>
      </c>
      <c r="H177" t="s">
        <v>14</v>
      </c>
      <c r="I177" t="s">
        <v>14</v>
      </c>
    </row>
    <row r="178" spans="1:9">
      <c r="A178" t="s">
        <v>290</v>
      </c>
      <c r="B178" t="s">
        <v>266</v>
      </c>
      <c r="C178" t="s">
        <v>235</v>
      </c>
      <c r="D178" s="1">
        <v>17.67</v>
      </c>
      <c r="E178" s="2">
        <v>6.1</v>
      </c>
      <c r="F178" s="2">
        <v>107.79</v>
      </c>
      <c r="G178" t="s">
        <v>267</v>
      </c>
      <c r="H178" t="s">
        <v>14</v>
      </c>
      <c r="I178" t="s">
        <v>14</v>
      </c>
    </row>
    <row r="179" spans="1:9">
      <c r="A179" t="s">
        <v>291</v>
      </c>
      <c r="B179" t="s">
        <v>266</v>
      </c>
      <c r="C179" t="s">
        <v>207</v>
      </c>
      <c r="D179" s="1">
        <v>17.79</v>
      </c>
      <c r="E179" s="2">
        <v>4.3</v>
      </c>
      <c r="F179" s="2">
        <v>76.5</v>
      </c>
      <c r="G179" t="s">
        <v>267</v>
      </c>
      <c r="H179" t="s">
        <v>14</v>
      </c>
      <c r="I179" t="s">
        <v>14</v>
      </c>
    </row>
    <row r="180" spans="1:9">
      <c r="A180" t="s">
        <v>292</v>
      </c>
      <c r="B180" t="s">
        <v>266</v>
      </c>
      <c r="C180" t="s">
        <v>293</v>
      </c>
      <c r="D180" s="1">
        <v>17.78</v>
      </c>
      <c r="E180" s="2">
        <v>5.85</v>
      </c>
      <c r="F180" s="2">
        <v>104.01</v>
      </c>
      <c r="G180" t="s">
        <v>267</v>
      </c>
      <c r="H180" t="s">
        <v>14</v>
      </c>
      <c r="I180" t="s">
        <v>14</v>
      </c>
    </row>
    <row r="181" spans="1:9">
      <c r="A181" t="s">
        <v>294</v>
      </c>
      <c r="B181" t="s">
        <v>266</v>
      </c>
      <c r="C181" t="s">
        <v>295</v>
      </c>
      <c r="D181" s="1">
        <v>17.78</v>
      </c>
      <c r="E181" s="2">
        <v>4.45</v>
      </c>
      <c r="F181" s="2">
        <v>79.12</v>
      </c>
      <c r="G181" t="s">
        <v>267</v>
      </c>
      <c r="H181" t="s">
        <v>14</v>
      </c>
      <c r="I181" t="s">
        <v>14</v>
      </c>
    </row>
    <row r="182" spans="1:9">
      <c r="A182" t="s">
        <v>296</v>
      </c>
      <c r="B182" t="s">
        <v>266</v>
      </c>
      <c r="C182" t="s">
        <v>224</v>
      </c>
      <c r="D182" s="1">
        <v>17.73</v>
      </c>
      <c r="E182" s="2">
        <v>4.45</v>
      </c>
      <c r="F182" s="2">
        <v>78.9</v>
      </c>
      <c r="G182" t="s">
        <v>267</v>
      </c>
      <c r="H182" t="s">
        <v>14</v>
      </c>
      <c r="I182" t="s">
        <v>14</v>
      </c>
    </row>
    <row r="183" spans="1:9">
      <c r="A183" t="s">
        <v>297</v>
      </c>
      <c r="B183" t="s">
        <v>266</v>
      </c>
      <c r="C183" t="s">
        <v>215</v>
      </c>
      <c r="D183" s="1">
        <v>17.77</v>
      </c>
      <c r="E183" s="2">
        <v>6.1</v>
      </c>
      <c r="F183" s="2">
        <v>108.4</v>
      </c>
      <c r="G183" t="s">
        <v>267</v>
      </c>
      <c r="H183" t="s">
        <v>14</v>
      </c>
      <c r="I183" t="s">
        <v>14</v>
      </c>
    </row>
    <row r="184" spans="1:9">
      <c r="A184" t="s">
        <v>298</v>
      </c>
      <c r="B184" t="s">
        <v>266</v>
      </c>
      <c r="C184" t="s">
        <v>224</v>
      </c>
      <c r="D184" s="1">
        <v>17.8</v>
      </c>
      <c r="E184" s="2">
        <v>4.45</v>
      </c>
      <c r="F184" s="2">
        <v>79.21</v>
      </c>
      <c r="G184" t="s">
        <v>267</v>
      </c>
      <c r="H184" t="s">
        <v>14</v>
      </c>
      <c r="I184" t="s">
        <v>14</v>
      </c>
    </row>
    <row r="185" spans="1:9">
      <c r="A185" t="s">
        <v>299</v>
      </c>
      <c r="B185" t="s">
        <v>266</v>
      </c>
      <c r="C185" t="s">
        <v>226</v>
      </c>
      <c r="D185" s="1">
        <v>17.8</v>
      </c>
      <c r="E185" s="2">
        <v>5.6</v>
      </c>
      <c r="F185" s="2">
        <v>99.68</v>
      </c>
      <c r="G185" t="s">
        <v>267</v>
      </c>
      <c r="H185" t="s">
        <v>14</v>
      </c>
      <c r="I185" t="s">
        <v>14</v>
      </c>
    </row>
    <row r="186" spans="1:9">
      <c r="A186" t="s">
        <v>300</v>
      </c>
      <c r="B186" t="s">
        <v>301</v>
      </c>
      <c r="C186" t="s">
        <v>302</v>
      </c>
      <c r="D186" s="1">
        <v>18.09</v>
      </c>
      <c r="E186" s="2">
        <v>4.1</v>
      </c>
      <c r="F186" s="2">
        <v>74.17</v>
      </c>
      <c r="G186" t="s">
        <v>303</v>
      </c>
      <c r="H186" t="s">
        <v>14</v>
      </c>
      <c r="I186" t="s">
        <v>14</v>
      </c>
    </row>
    <row r="187" spans="1:9">
      <c r="A187" t="s">
        <v>304</v>
      </c>
      <c r="B187" t="s">
        <v>301</v>
      </c>
      <c r="C187" t="s">
        <v>305</v>
      </c>
      <c r="D187" s="1">
        <v>18.1</v>
      </c>
      <c r="E187" s="2">
        <v>5.35</v>
      </c>
      <c r="F187" s="2">
        <v>96.84</v>
      </c>
      <c r="G187" t="s">
        <v>303</v>
      </c>
      <c r="H187" t="s">
        <v>14</v>
      </c>
      <c r="I187" t="s">
        <v>14</v>
      </c>
    </row>
    <row r="188" spans="1:9">
      <c r="A188" t="s">
        <v>306</v>
      </c>
      <c r="B188" t="s">
        <v>301</v>
      </c>
      <c r="C188" t="s">
        <v>307</v>
      </c>
      <c r="D188" s="1">
        <v>18.08</v>
      </c>
      <c r="E188" s="2">
        <v>3.4</v>
      </c>
      <c r="F188" s="2">
        <v>61.47</v>
      </c>
      <c r="G188" t="s">
        <v>303</v>
      </c>
      <c r="H188" t="s">
        <v>14</v>
      </c>
      <c r="I188" t="s">
        <v>14</v>
      </c>
    </row>
    <row r="189" spans="1:9">
      <c r="A189" t="s">
        <v>308</v>
      </c>
      <c r="B189" t="s">
        <v>301</v>
      </c>
      <c r="C189" t="s">
        <v>309</v>
      </c>
      <c r="D189" s="1">
        <v>18.08</v>
      </c>
      <c r="E189" s="2">
        <v>4.45</v>
      </c>
      <c r="F189" s="2">
        <v>80.46</v>
      </c>
      <c r="G189" t="s">
        <v>303</v>
      </c>
      <c r="H189" t="s">
        <v>14</v>
      </c>
      <c r="I189" t="s">
        <v>14</v>
      </c>
    </row>
    <row r="190" spans="1:9">
      <c r="A190" t="s">
        <v>310</v>
      </c>
      <c r="B190" t="s">
        <v>301</v>
      </c>
      <c r="C190" t="s">
        <v>311</v>
      </c>
      <c r="D190" s="1">
        <v>18.12</v>
      </c>
      <c r="E190" s="2">
        <v>3.4</v>
      </c>
      <c r="F190" s="2">
        <v>61.61</v>
      </c>
      <c r="G190" t="s">
        <v>303</v>
      </c>
      <c r="H190" t="s">
        <v>14</v>
      </c>
      <c r="I190" t="s">
        <v>14</v>
      </c>
    </row>
    <row r="191" spans="1:9">
      <c r="A191" t="s">
        <v>312</v>
      </c>
      <c r="B191" t="s">
        <v>301</v>
      </c>
      <c r="C191" t="s">
        <v>313</v>
      </c>
      <c r="D191" s="1">
        <v>18.06</v>
      </c>
      <c r="E191" s="2">
        <v>4.1</v>
      </c>
      <c r="F191" s="2">
        <v>74.05</v>
      </c>
      <c r="G191" t="s">
        <v>303</v>
      </c>
      <c r="H191" t="s">
        <v>14</v>
      </c>
      <c r="I191" t="s">
        <v>14</v>
      </c>
    </row>
    <row r="192" spans="1:9">
      <c r="A192" t="s">
        <v>314</v>
      </c>
      <c r="B192" t="s">
        <v>301</v>
      </c>
      <c r="C192" t="s">
        <v>315</v>
      </c>
      <c r="D192" s="1">
        <v>17.07</v>
      </c>
      <c r="E192" s="2">
        <v>5.6</v>
      </c>
      <c r="F192" s="2">
        <v>95.59</v>
      </c>
      <c r="G192" t="s">
        <v>303</v>
      </c>
      <c r="H192" t="s">
        <v>14</v>
      </c>
      <c r="I192" t="s">
        <v>14</v>
      </c>
    </row>
    <row r="193" spans="1:9">
      <c r="A193" t="s">
        <v>316</v>
      </c>
      <c r="B193" t="s">
        <v>301</v>
      </c>
      <c r="C193" t="s">
        <v>302</v>
      </c>
      <c r="D193" s="1">
        <v>20.21</v>
      </c>
      <c r="E193" s="2">
        <v>4.1</v>
      </c>
      <c r="F193" s="2">
        <v>82.86</v>
      </c>
      <c r="G193" t="s">
        <v>303</v>
      </c>
      <c r="H193" t="s">
        <v>14</v>
      </c>
      <c r="I193" t="s">
        <v>14</v>
      </c>
    </row>
    <row r="194" spans="1:9">
      <c r="A194" t="s">
        <v>317</v>
      </c>
      <c r="B194" t="s">
        <v>301</v>
      </c>
      <c r="C194" t="s">
        <v>318</v>
      </c>
      <c r="D194" s="1">
        <v>18.05</v>
      </c>
      <c r="E194" s="2">
        <v>4.1</v>
      </c>
      <c r="F194" s="2">
        <v>74</v>
      </c>
      <c r="G194" t="s">
        <v>303</v>
      </c>
      <c r="H194" t="s">
        <v>14</v>
      </c>
      <c r="I194" t="s">
        <v>14</v>
      </c>
    </row>
    <row r="195" spans="1:9">
      <c r="A195" t="s">
        <v>319</v>
      </c>
      <c r="B195" t="s">
        <v>301</v>
      </c>
      <c r="C195" t="s">
        <v>320</v>
      </c>
      <c r="D195" s="1">
        <v>20.01</v>
      </c>
      <c r="E195" s="2">
        <v>4.1</v>
      </c>
      <c r="F195" s="2">
        <v>82.04</v>
      </c>
      <c r="G195" t="s">
        <v>303</v>
      </c>
      <c r="H195" t="s">
        <v>14</v>
      </c>
      <c r="I195" t="s">
        <v>14</v>
      </c>
    </row>
    <row r="196" spans="1:9">
      <c r="A196" t="s">
        <v>321</v>
      </c>
      <c r="B196" t="s">
        <v>301</v>
      </c>
      <c r="C196" t="s">
        <v>320</v>
      </c>
      <c r="D196" s="1">
        <v>17.96</v>
      </c>
      <c r="E196" s="2">
        <v>4.1</v>
      </c>
      <c r="F196" s="2">
        <v>73.64</v>
      </c>
      <c r="G196" t="s">
        <v>303</v>
      </c>
      <c r="H196" t="s">
        <v>14</v>
      </c>
      <c r="I196" t="s">
        <v>14</v>
      </c>
    </row>
    <row r="197" spans="1:9">
      <c r="A197" t="s">
        <v>322</v>
      </c>
      <c r="B197" t="s">
        <v>301</v>
      </c>
      <c r="C197" t="s">
        <v>320</v>
      </c>
      <c r="D197" s="1">
        <v>19.41</v>
      </c>
      <c r="E197" s="2">
        <v>4.1</v>
      </c>
      <c r="F197" s="2">
        <v>79.58</v>
      </c>
      <c r="G197" t="s">
        <v>303</v>
      </c>
      <c r="H197" t="s">
        <v>14</v>
      </c>
      <c r="I197" t="s">
        <v>14</v>
      </c>
    </row>
    <row r="198" spans="1:9">
      <c r="A198" t="s">
        <v>323</v>
      </c>
      <c r="B198" t="s">
        <v>301</v>
      </c>
      <c r="C198" t="s">
        <v>324</v>
      </c>
      <c r="D198" s="1">
        <v>18.1</v>
      </c>
      <c r="E198" s="2">
        <v>8.95</v>
      </c>
      <c r="F198" s="2">
        <v>162</v>
      </c>
      <c r="G198" t="s">
        <v>303</v>
      </c>
      <c r="H198" t="s">
        <v>14</v>
      </c>
      <c r="I198" t="s">
        <v>14</v>
      </c>
    </row>
    <row r="199" spans="1:9">
      <c r="A199" t="s">
        <v>325</v>
      </c>
      <c r="B199" t="s">
        <v>301</v>
      </c>
      <c r="C199" t="s">
        <v>326</v>
      </c>
      <c r="D199" s="1">
        <v>20.21</v>
      </c>
      <c r="E199" s="2">
        <v>3.4</v>
      </c>
      <c r="F199" s="2">
        <v>68.71</v>
      </c>
      <c r="G199" t="s">
        <v>303</v>
      </c>
      <c r="H199" t="s">
        <v>14</v>
      </c>
      <c r="I199" t="s">
        <v>14</v>
      </c>
    </row>
    <row r="200" spans="1:9">
      <c r="A200" t="s">
        <v>327</v>
      </c>
      <c r="B200" t="s">
        <v>301</v>
      </c>
      <c r="C200" t="s">
        <v>326</v>
      </c>
      <c r="D200" s="1">
        <v>18.08</v>
      </c>
      <c r="E200" s="2">
        <v>3.4</v>
      </c>
      <c r="F200" s="2">
        <v>61.47</v>
      </c>
      <c r="G200" t="s">
        <v>303</v>
      </c>
      <c r="H200" t="s">
        <v>14</v>
      </c>
      <c r="I200" t="s">
        <v>14</v>
      </c>
    </row>
    <row r="201" spans="1:9">
      <c r="A201" t="s">
        <v>328</v>
      </c>
      <c r="B201" t="s">
        <v>301</v>
      </c>
      <c r="C201" t="s">
        <v>311</v>
      </c>
      <c r="D201" s="1">
        <v>18.1</v>
      </c>
      <c r="E201" s="2">
        <v>3.4</v>
      </c>
      <c r="F201" s="2">
        <v>61.54</v>
      </c>
      <c r="G201" t="s">
        <v>303</v>
      </c>
      <c r="H201" t="s">
        <v>14</v>
      </c>
      <c r="I201" t="s">
        <v>14</v>
      </c>
    </row>
    <row r="202" spans="1:9">
      <c r="A202" t="s">
        <v>329</v>
      </c>
      <c r="B202" t="s">
        <v>301</v>
      </c>
      <c r="C202" t="s">
        <v>305</v>
      </c>
      <c r="D202" s="1">
        <v>18.09</v>
      </c>
      <c r="E202" s="2">
        <v>5.35</v>
      </c>
      <c r="F202" s="2">
        <v>96.78</v>
      </c>
      <c r="G202" t="s">
        <v>303</v>
      </c>
      <c r="H202" t="s">
        <v>14</v>
      </c>
      <c r="I202" t="s">
        <v>14</v>
      </c>
    </row>
    <row r="203" spans="1:9">
      <c r="A203" t="s">
        <v>330</v>
      </c>
      <c r="B203" t="s">
        <v>301</v>
      </c>
      <c r="C203" t="s">
        <v>307</v>
      </c>
      <c r="D203" s="1">
        <v>18.07</v>
      </c>
      <c r="E203" s="2">
        <v>3.4</v>
      </c>
      <c r="F203" s="2">
        <v>61.44</v>
      </c>
      <c r="G203" t="s">
        <v>303</v>
      </c>
      <c r="H203" t="s">
        <v>14</v>
      </c>
      <c r="I203" t="s">
        <v>14</v>
      </c>
    </row>
    <row r="204" spans="1:9">
      <c r="A204" t="s">
        <v>331</v>
      </c>
      <c r="B204" t="s">
        <v>301</v>
      </c>
      <c r="C204" t="s">
        <v>302</v>
      </c>
      <c r="D204" s="1">
        <v>18.1</v>
      </c>
      <c r="E204" s="2">
        <v>4.1</v>
      </c>
      <c r="F204" s="2">
        <v>74.21</v>
      </c>
      <c r="G204" t="s">
        <v>303</v>
      </c>
      <c r="H204" t="s">
        <v>14</v>
      </c>
      <c r="I204" t="s">
        <v>14</v>
      </c>
    </row>
    <row r="205" spans="1:9">
      <c r="A205" t="s">
        <v>332</v>
      </c>
      <c r="B205" t="s">
        <v>301</v>
      </c>
      <c r="C205" t="s">
        <v>333</v>
      </c>
      <c r="D205" s="1">
        <v>18.08</v>
      </c>
      <c r="E205" s="2">
        <v>4.85</v>
      </c>
      <c r="F205" s="2">
        <v>87.69</v>
      </c>
      <c r="G205" t="s">
        <v>303</v>
      </c>
      <c r="H205" t="s">
        <v>14</v>
      </c>
      <c r="I205" t="s">
        <v>14</v>
      </c>
    </row>
    <row r="206" spans="1:9">
      <c r="A206" t="s">
        <v>334</v>
      </c>
      <c r="B206" t="s">
        <v>301</v>
      </c>
      <c r="C206" t="s">
        <v>335</v>
      </c>
      <c r="D206" s="1">
        <v>18.08</v>
      </c>
      <c r="E206" s="2">
        <v>5.85</v>
      </c>
      <c r="F206" s="2">
        <v>105.77</v>
      </c>
      <c r="G206" t="s">
        <v>303</v>
      </c>
      <c r="H206" t="s">
        <v>14</v>
      </c>
      <c r="I206" t="s">
        <v>14</v>
      </c>
    </row>
    <row r="207" spans="1:9">
      <c r="A207" t="s">
        <v>336</v>
      </c>
      <c r="B207" t="s">
        <v>301</v>
      </c>
      <c r="C207" t="s">
        <v>302</v>
      </c>
      <c r="D207" s="1">
        <v>18.08</v>
      </c>
      <c r="E207" s="2">
        <v>4.1</v>
      </c>
      <c r="F207" s="2">
        <v>74.13</v>
      </c>
      <c r="G207" t="s">
        <v>303</v>
      </c>
      <c r="H207" t="s">
        <v>14</v>
      </c>
      <c r="I207" t="s">
        <v>14</v>
      </c>
    </row>
    <row r="208" spans="1:9">
      <c r="A208" t="s">
        <v>337</v>
      </c>
      <c r="B208" t="s">
        <v>301</v>
      </c>
      <c r="C208" t="s">
        <v>313</v>
      </c>
      <c r="D208" s="1">
        <v>19.9</v>
      </c>
      <c r="E208" s="2">
        <v>4.1</v>
      </c>
      <c r="F208" s="2">
        <v>81.59</v>
      </c>
      <c r="G208" t="s">
        <v>303</v>
      </c>
      <c r="H208" t="s">
        <v>14</v>
      </c>
      <c r="I208" t="s">
        <v>14</v>
      </c>
    </row>
    <row r="209" spans="1:9">
      <c r="A209" t="s">
        <v>338</v>
      </c>
      <c r="B209" t="s">
        <v>301</v>
      </c>
      <c r="C209" t="s">
        <v>339</v>
      </c>
      <c r="D209" s="1">
        <v>18.08</v>
      </c>
      <c r="E209" s="2">
        <v>4.1</v>
      </c>
      <c r="F209" s="2">
        <v>74.13</v>
      </c>
      <c r="G209" t="s">
        <v>303</v>
      </c>
      <c r="H209" t="s">
        <v>14</v>
      </c>
      <c r="I209" t="s">
        <v>14</v>
      </c>
    </row>
    <row r="210" spans="1:9">
      <c r="A210" t="s">
        <v>340</v>
      </c>
      <c r="B210" t="s">
        <v>301</v>
      </c>
      <c r="C210" t="s">
        <v>341</v>
      </c>
      <c r="D210" s="1">
        <v>18.07</v>
      </c>
      <c r="E210" s="2">
        <v>4.1</v>
      </c>
      <c r="F210" s="2">
        <v>74.09</v>
      </c>
      <c r="G210" t="s">
        <v>303</v>
      </c>
      <c r="H210" t="s">
        <v>14</v>
      </c>
      <c r="I210" t="s">
        <v>14</v>
      </c>
    </row>
    <row r="211" spans="1:9">
      <c r="A211" t="s">
        <v>342</v>
      </c>
      <c r="B211" t="s">
        <v>301</v>
      </c>
      <c r="C211" t="s">
        <v>326</v>
      </c>
      <c r="D211" s="1">
        <v>18.09</v>
      </c>
      <c r="E211" s="2">
        <v>3.4</v>
      </c>
      <c r="F211" s="2">
        <v>61.51</v>
      </c>
      <c r="G211" t="s">
        <v>303</v>
      </c>
      <c r="H211" t="s">
        <v>14</v>
      </c>
      <c r="I211" t="s">
        <v>14</v>
      </c>
    </row>
    <row r="212" spans="1:9">
      <c r="A212" t="s">
        <v>343</v>
      </c>
      <c r="B212" t="s">
        <v>301</v>
      </c>
      <c r="C212" t="s">
        <v>305</v>
      </c>
      <c r="D212" s="1">
        <v>18.74</v>
      </c>
      <c r="E212" s="2">
        <v>5.35</v>
      </c>
      <c r="F212" s="2">
        <v>100.26</v>
      </c>
      <c r="G212" t="s">
        <v>303</v>
      </c>
      <c r="H212" t="s">
        <v>14</v>
      </c>
      <c r="I212" t="s">
        <v>14</v>
      </c>
    </row>
    <row r="213" spans="1:9">
      <c r="A213" t="s">
        <v>344</v>
      </c>
      <c r="B213" t="s">
        <v>301</v>
      </c>
      <c r="C213" t="s">
        <v>302</v>
      </c>
      <c r="D213" s="1">
        <v>18.14</v>
      </c>
      <c r="E213" s="2">
        <v>4.1</v>
      </c>
      <c r="F213" s="2">
        <v>74.37</v>
      </c>
      <c r="G213" t="s">
        <v>303</v>
      </c>
      <c r="H213" t="s">
        <v>14</v>
      </c>
      <c r="I213" t="s">
        <v>14</v>
      </c>
    </row>
    <row r="214" spans="1:9">
      <c r="A214" t="s">
        <v>345</v>
      </c>
      <c r="B214" t="s">
        <v>301</v>
      </c>
      <c r="C214" t="s">
        <v>313</v>
      </c>
      <c r="D214" s="1">
        <v>18.08</v>
      </c>
      <c r="E214" s="2">
        <v>4.1</v>
      </c>
      <c r="F214" s="2">
        <v>74.13</v>
      </c>
      <c r="G214" t="s">
        <v>303</v>
      </c>
      <c r="H214" t="s">
        <v>14</v>
      </c>
      <c r="I214" t="s">
        <v>14</v>
      </c>
    </row>
    <row r="215" spans="1:9">
      <c r="A215" t="s">
        <v>346</v>
      </c>
      <c r="B215" t="s">
        <v>301</v>
      </c>
      <c r="C215" t="s">
        <v>309</v>
      </c>
      <c r="D215" s="1">
        <v>18.08</v>
      </c>
      <c r="E215" s="2">
        <v>4.45</v>
      </c>
      <c r="F215" s="2">
        <v>80.46</v>
      </c>
      <c r="G215" t="s">
        <v>303</v>
      </c>
      <c r="H215" t="s">
        <v>14</v>
      </c>
      <c r="I215" t="s">
        <v>14</v>
      </c>
    </row>
    <row r="216" spans="1:9">
      <c r="A216" t="s">
        <v>347</v>
      </c>
      <c r="B216" t="s">
        <v>301</v>
      </c>
      <c r="C216" t="s">
        <v>348</v>
      </c>
      <c r="D216" s="1">
        <v>19.25</v>
      </c>
      <c r="E216" s="2">
        <v>5.85</v>
      </c>
      <c r="F216" s="2">
        <v>112.61</v>
      </c>
      <c r="G216" t="s">
        <v>303</v>
      </c>
      <c r="H216" t="s">
        <v>14</v>
      </c>
      <c r="I216" t="s">
        <v>14</v>
      </c>
    </row>
    <row r="217" spans="1:9">
      <c r="A217" t="s">
        <v>349</v>
      </c>
      <c r="B217" t="s">
        <v>350</v>
      </c>
      <c r="C217" t="s">
        <v>313</v>
      </c>
      <c r="D217" s="1">
        <v>20.48</v>
      </c>
      <c r="E217" s="2">
        <v>4.1</v>
      </c>
      <c r="F217" s="2">
        <v>83.97</v>
      </c>
      <c r="G217" t="s">
        <v>351</v>
      </c>
      <c r="H217" t="s">
        <v>14</v>
      </c>
      <c r="I217" t="s">
        <v>14</v>
      </c>
    </row>
    <row r="218" spans="1:9">
      <c r="A218" t="s">
        <v>352</v>
      </c>
      <c r="B218" t="s">
        <v>350</v>
      </c>
      <c r="C218" t="s">
        <v>320</v>
      </c>
      <c r="D218" s="1">
        <v>20.57</v>
      </c>
      <c r="E218" s="2">
        <v>4.1</v>
      </c>
      <c r="F218" s="2">
        <v>84.34</v>
      </c>
      <c r="G218" t="s">
        <v>351</v>
      </c>
      <c r="H218" t="s">
        <v>14</v>
      </c>
      <c r="I218" t="s">
        <v>14</v>
      </c>
    </row>
    <row r="219" spans="1:9">
      <c r="A219" t="s">
        <v>353</v>
      </c>
      <c r="B219" t="s">
        <v>350</v>
      </c>
      <c r="C219" t="s">
        <v>305</v>
      </c>
      <c r="D219" s="1">
        <v>20.48</v>
      </c>
      <c r="E219" s="2">
        <v>5.35</v>
      </c>
      <c r="F219" s="2">
        <v>109.57</v>
      </c>
      <c r="G219" t="s">
        <v>351</v>
      </c>
      <c r="H219" t="s">
        <v>14</v>
      </c>
      <c r="I219" t="s">
        <v>14</v>
      </c>
    </row>
    <row r="220" spans="1:9">
      <c r="A220" t="s">
        <v>354</v>
      </c>
      <c r="B220" t="s">
        <v>350</v>
      </c>
      <c r="C220" t="s">
        <v>326</v>
      </c>
      <c r="D220" s="1">
        <v>20.45</v>
      </c>
      <c r="E220" s="2">
        <v>3.4</v>
      </c>
      <c r="F220" s="2">
        <v>69.53</v>
      </c>
      <c r="G220" t="s">
        <v>351</v>
      </c>
      <c r="H220" t="s">
        <v>14</v>
      </c>
      <c r="I220" t="s">
        <v>14</v>
      </c>
    </row>
    <row r="221" spans="1:9">
      <c r="A221" t="s">
        <v>355</v>
      </c>
      <c r="B221" t="s">
        <v>350</v>
      </c>
      <c r="C221" t="s">
        <v>320</v>
      </c>
      <c r="D221" s="1">
        <v>20.47</v>
      </c>
      <c r="E221" s="2">
        <v>4.1</v>
      </c>
      <c r="F221" s="2">
        <v>83.93</v>
      </c>
      <c r="G221" t="s">
        <v>351</v>
      </c>
      <c r="H221" t="s">
        <v>14</v>
      </c>
      <c r="I221" t="s">
        <v>14</v>
      </c>
    </row>
    <row r="222" spans="1:9">
      <c r="A222" t="s">
        <v>356</v>
      </c>
      <c r="B222" t="s">
        <v>350</v>
      </c>
      <c r="C222" t="s">
        <v>307</v>
      </c>
      <c r="D222" s="1">
        <v>20.47</v>
      </c>
      <c r="E222" s="2">
        <v>3.4</v>
      </c>
      <c r="F222" s="2">
        <v>69.6</v>
      </c>
      <c r="G222" t="s">
        <v>351</v>
      </c>
      <c r="H222" t="s">
        <v>14</v>
      </c>
      <c r="I222" t="s">
        <v>14</v>
      </c>
    </row>
    <row r="223" spans="1:9">
      <c r="A223" t="s">
        <v>357</v>
      </c>
      <c r="B223" t="s">
        <v>350</v>
      </c>
      <c r="C223" t="s">
        <v>313</v>
      </c>
      <c r="D223" s="1">
        <v>20.47</v>
      </c>
      <c r="E223" s="2">
        <v>4.1</v>
      </c>
      <c r="F223" s="2">
        <v>83.93</v>
      </c>
      <c r="G223" t="s">
        <v>351</v>
      </c>
      <c r="H223" t="s">
        <v>14</v>
      </c>
      <c r="I223" t="s">
        <v>14</v>
      </c>
    </row>
    <row r="224" spans="1:9">
      <c r="A224" t="s">
        <v>358</v>
      </c>
      <c r="B224" t="s">
        <v>350</v>
      </c>
      <c r="C224" t="s">
        <v>320</v>
      </c>
      <c r="D224" s="1">
        <v>20.44</v>
      </c>
      <c r="E224" s="2">
        <v>4.1</v>
      </c>
      <c r="F224" s="2">
        <v>83.8</v>
      </c>
      <c r="G224" t="s">
        <v>351</v>
      </c>
      <c r="H224" t="s">
        <v>14</v>
      </c>
      <c r="I224" t="s">
        <v>14</v>
      </c>
    </row>
    <row r="225" spans="1:9">
      <c r="A225" t="s">
        <v>359</v>
      </c>
      <c r="B225" t="s">
        <v>350</v>
      </c>
      <c r="C225" t="s">
        <v>307</v>
      </c>
      <c r="D225" s="1">
        <v>20.42</v>
      </c>
      <c r="E225" s="2">
        <v>3.4</v>
      </c>
      <c r="F225" s="2">
        <v>69.43</v>
      </c>
      <c r="G225" t="s">
        <v>351</v>
      </c>
      <c r="H225" t="s">
        <v>14</v>
      </c>
      <c r="I225" t="s">
        <v>14</v>
      </c>
    </row>
    <row r="226" spans="1:9">
      <c r="A226" t="s">
        <v>360</v>
      </c>
      <c r="B226" t="s">
        <v>350</v>
      </c>
      <c r="C226" t="s">
        <v>333</v>
      </c>
      <c r="D226" s="1">
        <v>20.38</v>
      </c>
      <c r="E226" s="2">
        <v>4.85</v>
      </c>
      <c r="F226" s="2">
        <v>98.84</v>
      </c>
      <c r="G226" t="s">
        <v>351</v>
      </c>
      <c r="H226" t="s">
        <v>14</v>
      </c>
      <c r="I226" t="s">
        <v>14</v>
      </c>
    </row>
    <row r="227" spans="1:9">
      <c r="A227" t="s">
        <v>361</v>
      </c>
      <c r="B227" t="s">
        <v>350</v>
      </c>
      <c r="C227" t="s">
        <v>309</v>
      </c>
      <c r="D227" s="1">
        <v>20.44</v>
      </c>
      <c r="E227" s="2">
        <v>4.45</v>
      </c>
      <c r="F227" s="2">
        <v>90.96</v>
      </c>
      <c r="G227" t="s">
        <v>351</v>
      </c>
      <c r="H227" t="s">
        <v>14</v>
      </c>
      <c r="I227" t="s">
        <v>14</v>
      </c>
    </row>
    <row r="228" spans="1:9">
      <c r="A228" t="s">
        <v>362</v>
      </c>
      <c r="B228" t="s">
        <v>363</v>
      </c>
      <c r="C228" t="s">
        <v>313</v>
      </c>
      <c r="D228" s="1">
        <v>21.12</v>
      </c>
      <c r="E228" s="2">
        <v>4.1</v>
      </c>
      <c r="F228" s="2">
        <v>86.59</v>
      </c>
      <c r="G228" t="s">
        <v>364</v>
      </c>
      <c r="H228" t="s">
        <v>14</v>
      </c>
      <c r="I228" t="s">
        <v>14</v>
      </c>
    </row>
    <row r="229" spans="1:9">
      <c r="A229" t="s">
        <v>365</v>
      </c>
      <c r="B229" t="s">
        <v>363</v>
      </c>
      <c r="C229" t="s">
        <v>320</v>
      </c>
      <c r="D229" s="1">
        <v>21.05</v>
      </c>
      <c r="E229" s="2">
        <v>4.1</v>
      </c>
      <c r="F229" s="2">
        <v>86.3</v>
      </c>
      <c r="G229" t="s">
        <v>364</v>
      </c>
      <c r="H229" t="s">
        <v>14</v>
      </c>
      <c r="I229" t="s">
        <v>14</v>
      </c>
    </row>
    <row r="230" spans="1:9">
      <c r="A230" t="s">
        <v>366</v>
      </c>
      <c r="B230" t="s">
        <v>363</v>
      </c>
      <c r="C230" t="s">
        <v>305</v>
      </c>
      <c r="D230" s="1">
        <v>21.04</v>
      </c>
      <c r="E230" s="2">
        <v>5.35</v>
      </c>
      <c r="F230" s="2">
        <v>112.56</v>
      </c>
      <c r="G230" t="s">
        <v>364</v>
      </c>
      <c r="H230" t="s">
        <v>14</v>
      </c>
      <c r="I230" t="s">
        <v>14</v>
      </c>
    </row>
    <row r="231" spans="1:9">
      <c r="A231" t="s">
        <v>367</v>
      </c>
      <c r="B231" t="s">
        <v>363</v>
      </c>
      <c r="C231" t="s">
        <v>326</v>
      </c>
      <c r="D231" s="1">
        <v>21.05</v>
      </c>
      <c r="E231" s="2">
        <v>3.4</v>
      </c>
      <c r="F231" s="2">
        <v>71.57</v>
      </c>
      <c r="G231" t="s">
        <v>364</v>
      </c>
      <c r="H231" t="s">
        <v>14</v>
      </c>
      <c r="I231" t="s">
        <v>14</v>
      </c>
    </row>
    <row r="232" spans="1:9">
      <c r="A232" t="s">
        <v>368</v>
      </c>
      <c r="B232" t="s">
        <v>363</v>
      </c>
      <c r="C232" t="s">
        <v>320</v>
      </c>
      <c r="D232" s="1">
        <v>21.05</v>
      </c>
      <c r="E232" s="2">
        <v>4.1</v>
      </c>
      <c r="F232" s="2">
        <v>86.3</v>
      </c>
      <c r="G232" t="s">
        <v>364</v>
      </c>
      <c r="H232" t="s">
        <v>14</v>
      </c>
      <c r="I232" t="s">
        <v>14</v>
      </c>
    </row>
    <row r="233" spans="1:9">
      <c r="A233" t="s">
        <v>369</v>
      </c>
      <c r="B233" t="s">
        <v>363</v>
      </c>
      <c r="C233" t="s">
        <v>307</v>
      </c>
      <c r="D233" s="1">
        <v>21.06</v>
      </c>
      <c r="E233" s="2">
        <v>3.4</v>
      </c>
      <c r="F233" s="2">
        <v>71.6</v>
      </c>
      <c r="G233" t="s">
        <v>364</v>
      </c>
      <c r="H233" t="s">
        <v>14</v>
      </c>
      <c r="I233" t="s">
        <v>14</v>
      </c>
    </row>
    <row r="234" spans="1:9">
      <c r="A234" t="s">
        <v>370</v>
      </c>
      <c r="B234" t="s">
        <v>363</v>
      </c>
      <c r="C234" t="s">
        <v>313</v>
      </c>
      <c r="D234" s="1">
        <v>21.08</v>
      </c>
      <c r="E234" s="2">
        <v>4.1</v>
      </c>
      <c r="F234" s="2">
        <v>86.43</v>
      </c>
      <c r="G234" t="s">
        <v>364</v>
      </c>
      <c r="H234" t="s">
        <v>14</v>
      </c>
      <c r="I234" t="s">
        <v>14</v>
      </c>
    </row>
    <row r="235" spans="1:9">
      <c r="A235" t="s">
        <v>371</v>
      </c>
      <c r="B235" t="s">
        <v>363</v>
      </c>
      <c r="C235" t="s">
        <v>320</v>
      </c>
      <c r="D235" s="1">
        <v>20.96</v>
      </c>
      <c r="E235" s="2">
        <v>4.1</v>
      </c>
      <c r="F235" s="2">
        <v>85.94</v>
      </c>
      <c r="G235" t="s">
        <v>364</v>
      </c>
      <c r="H235" t="s">
        <v>14</v>
      </c>
      <c r="I235" t="s">
        <v>14</v>
      </c>
    </row>
    <row r="236" spans="1:9">
      <c r="A236" t="s">
        <v>372</v>
      </c>
      <c r="B236" t="s">
        <v>363</v>
      </c>
      <c r="C236" t="s">
        <v>307</v>
      </c>
      <c r="D236" s="1">
        <v>20.96</v>
      </c>
      <c r="E236" s="2">
        <v>3.4</v>
      </c>
      <c r="F236" s="2">
        <v>71.26</v>
      </c>
      <c r="G236" t="s">
        <v>364</v>
      </c>
      <c r="H236" t="s">
        <v>14</v>
      </c>
      <c r="I236" t="s">
        <v>14</v>
      </c>
    </row>
    <row r="237" spans="1:9">
      <c r="A237" t="s">
        <v>373</v>
      </c>
      <c r="B237" t="s">
        <v>363</v>
      </c>
      <c r="C237" t="s">
        <v>333</v>
      </c>
      <c r="D237" s="1">
        <v>21.05</v>
      </c>
      <c r="E237" s="2">
        <v>4.85</v>
      </c>
      <c r="F237" s="2">
        <v>102.09</v>
      </c>
      <c r="G237" t="s">
        <v>364</v>
      </c>
      <c r="H237" t="s">
        <v>14</v>
      </c>
      <c r="I237" t="s">
        <v>14</v>
      </c>
    </row>
    <row r="238" spans="1:9">
      <c r="A238" t="s">
        <v>374</v>
      </c>
      <c r="B238" t="s">
        <v>363</v>
      </c>
      <c r="C238" t="s">
        <v>307</v>
      </c>
      <c r="D238" s="1">
        <v>20.97</v>
      </c>
      <c r="E238" s="2">
        <v>3.4</v>
      </c>
      <c r="F238" s="2">
        <v>71.3</v>
      </c>
      <c r="G238" t="s">
        <v>364</v>
      </c>
      <c r="H238" t="s">
        <v>14</v>
      </c>
      <c r="I238" t="s">
        <v>14</v>
      </c>
    </row>
    <row r="239" spans="1:9">
      <c r="A239" t="s">
        <v>375</v>
      </c>
      <c r="B239" t="s">
        <v>363</v>
      </c>
      <c r="C239" t="s">
        <v>309</v>
      </c>
      <c r="D239" s="1">
        <v>21.12</v>
      </c>
      <c r="E239" s="2">
        <v>4.45</v>
      </c>
      <c r="F239" s="2">
        <v>93.98</v>
      </c>
      <c r="G239" t="s">
        <v>364</v>
      </c>
      <c r="H239" t="s">
        <v>14</v>
      </c>
      <c r="I239" t="s">
        <v>14</v>
      </c>
    </row>
    <row r="240" spans="1:9">
      <c r="A240" t="s">
        <v>376</v>
      </c>
      <c r="B240" t="s">
        <v>377</v>
      </c>
      <c r="C240" t="s">
        <v>64</v>
      </c>
      <c r="D240" s="1">
        <v>16.64</v>
      </c>
      <c r="E240" s="2">
        <v>12.9</v>
      </c>
      <c r="F240" s="2">
        <v>214.66</v>
      </c>
      <c r="G240" t="s">
        <v>378</v>
      </c>
      <c r="H240" t="s">
        <v>14</v>
      </c>
      <c r="I240" t="s">
        <v>14</v>
      </c>
    </row>
    <row r="241" spans="1:9">
      <c r="A241" t="s">
        <v>379</v>
      </c>
      <c r="B241" t="s">
        <v>380</v>
      </c>
      <c r="C241" t="s">
        <v>269</v>
      </c>
      <c r="D241" s="1">
        <v>20.95</v>
      </c>
      <c r="E241" s="2">
        <v>4.2</v>
      </c>
      <c r="F241" s="2">
        <v>87.99</v>
      </c>
      <c r="G241" t="s">
        <v>381</v>
      </c>
      <c r="H241" t="s">
        <v>14</v>
      </c>
      <c r="I241" t="s">
        <v>14</v>
      </c>
    </row>
    <row r="242" spans="1:9">
      <c r="A242" t="s">
        <v>382</v>
      </c>
      <c r="B242" t="s">
        <v>380</v>
      </c>
      <c r="C242" t="s">
        <v>219</v>
      </c>
      <c r="D242" s="1">
        <v>21.04</v>
      </c>
      <c r="E242" s="2">
        <v>3.25</v>
      </c>
      <c r="F242" s="2">
        <v>68.38</v>
      </c>
      <c r="G242" t="s">
        <v>381</v>
      </c>
      <c r="H242" t="s">
        <v>14</v>
      </c>
      <c r="I242" t="s">
        <v>14</v>
      </c>
    </row>
    <row r="243" spans="1:9">
      <c r="A243" t="s">
        <v>383</v>
      </c>
      <c r="B243" t="s">
        <v>380</v>
      </c>
      <c r="C243" t="s">
        <v>384</v>
      </c>
      <c r="D243" s="1">
        <v>20.99</v>
      </c>
      <c r="E243" s="2">
        <v>5.35</v>
      </c>
      <c r="F243" s="2">
        <v>112.3</v>
      </c>
      <c r="G243" t="s">
        <v>381</v>
      </c>
      <c r="H243" t="s">
        <v>14</v>
      </c>
      <c r="I243" t="s">
        <v>14</v>
      </c>
    </row>
    <row r="244" spans="1:9">
      <c r="A244" t="s">
        <v>385</v>
      </c>
      <c r="B244" t="s">
        <v>380</v>
      </c>
      <c r="C244" t="s">
        <v>229</v>
      </c>
      <c r="D244" s="1">
        <v>20.94</v>
      </c>
      <c r="E244" s="2">
        <v>4.45</v>
      </c>
      <c r="F244" s="2">
        <v>93.18</v>
      </c>
      <c r="G244" t="s">
        <v>381</v>
      </c>
      <c r="H244" t="s">
        <v>14</v>
      </c>
      <c r="I244" t="s">
        <v>14</v>
      </c>
    </row>
    <row r="245" spans="1:9">
      <c r="A245" t="s">
        <v>386</v>
      </c>
      <c r="B245" t="s">
        <v>380</v>
      </c>
      <c r="C245" t="s">
        <v>219</v>
      </c>
      <c r="D245" s="1">
        <v>20.95</v>
      </c>
      <c r="E245" s="2">
        <v>3.25</v>
      </c>
      <c r="F245" s="2">
        <v>68.09</v>
      </c>
      <c r="G245" t="s">
        <v>381</v>
      </c>
      <c r="H245" t="s">
        <v>14</v>
      </c>
      <c r="I245" t="s">
        <v>14</v>
      </c>
    </row>
    <row r="246" spans="1:9">
      <c r="A246" t="s">
        <v>387</v>
      </c>
      <c r="B246" t="s">
        <v>380</v>
      </c>
      <c r="C246" t="s">
        <v>235</v>
      </c>
      <c r="D246" s="1">
        <v>21.04</v>
      </c>
      <c r="E246" s="2">
        <v>6.1</v>
      </c>
      <c r="F246" s="2">
        <v>128.34</v>
      </c>
      <c r="G246" t="s">
        <v>381</v>
      </c>
      <c r="H246" t="s">
        <v>14</v>
      </c>
      <c r="I246" t="s">
        <v>14</v>
      </c>
    </row>
    <row r="247" spans="1:9">
      <c r="A247" t="s">
        <v>388</v>
      </c>
      <c r="B247" t="s">
        <v>380</v>
      </c>
      <c r="C247" t="s">
        <v>389</v>
      </c>
      <c r="D247" s="1">
        <v>20.92</v>
      </c>
      <c r="E247" s="2">
        <v>4.1</v>
      </c>
      <c r="F247" s="2">
        <v>85.77</v>
      </c>
      <c r="G247" t="s">
        <v>381</v>
      </c>
      <c r="H247" t="s">
        <v>14</v>
      </c>
      <c r="I247" t="s">
        <v>14</v>
      </c>
    </row>
    <row r="248" spans="1:9">
      <c r="A248" t="s">
        <v>390</v>
      </c>
      <c r="B248" t="s">
        <v>380</v>
      </c>
      <c r="C248" t="s">
        <v>235</v>
      </c>
      <c r="D248" s="1">
        <v>20.96</v>
      </c>
      <c r="E248" s="2">
        <v>6.1</v>
      </c>
      <c r="F248" s="2">
        <v>127.86</v>
      </c>
      <c r="G248" t="s">
        <v>381</v>
      </c>
      <c r="H248" t="s">
        <v>14</v>
      </c>
      <c r="I248" t="s">
        <v>14</v>
      </c>
    </row>
    <row r="249" spans="1:9">
      <c r="A249" t="s">
        <v>391</v>
      </c>
      <c r="B249" t="s">
        <v>380</v>
      </c>
      <c r="C249" t="s">
        <v>204</v>
      </c>
      <c r="D249" s="1">
        <v>20.94</v>
      </c>
      <c r="E249" s="2">
        <v>4.3</v>
      </c>
      <c r="F249" s="2">
        <v>90.04</v>
      </c>
      <c r="G249" t="s">
        <v>381</v>
      </c>
      <c r="H249" t="s">
        <v>14</v>
      </c>
      <c r="I249" t="s">
        <v>14</v>
      </c>
    </row>
    <row r="250" spans="1:9">
      <c r="A250" t="s">
        <v>392</v>
      </c>
      <c r="B250" t="s">
        <v>380</v>
      </c>
      <c r="C250" t="s">
        <v>235</v>
      </c>
      <c r="D250" s="1">
        <v>20.95</v>
      </c>
      <c r="E250" s="2">
        <v>6.1</v>
      </c>
      <c r="F250" s="2">
        <v>127.79</v>
      </c>
      <c r="G250" t="s">
        <v>381</v>
      </c>
      <c r="H250" t="s">
        <v>14</v>
      </c>
      <c r="I250" t="s">
        <v>14</v>
      </c>
    </row>
    <row r="251" spans="1:9">
      <c r="A251" t="s">
        <v>393</v>
      </c>
      <c r="B251" t="s">
        <v>380</v>
      </c>
      <c r="C251" t="s">
        <v>215</v>
      </c>
      <c r="D251" s="1">
        <v>20.98</v>
      </c>
      <c r="E251" s="2">
        <v>6.1</v>
      </c>
      <c r="F251" s="2">
        <v>127.98</v>
      </c>
      <c r="G251" t="s">
        <v>381</v>
      </c>
      <c r="H251" t="s">
        <v>14</v>
      </c>
      <c r="I251" t="s">
        <v>14</v>
      </c>
    </row>
    <row r="252" spans="1:9">
      <c r="A252" t="s">
        <v>394</v>
      </c>
      <c r="B252" t="s">
        <v>380</v>
      </c>
      <c r="C252" t="s">
        <v>224</v>
      </c>
      <c r="D252" s="1">
        <v>20.94</v>
      </c>
      <c r="E252" s="2">
        <v>4.45</v>
      </c>
      <c r="F252" s="2">
        <v>93.18</v>
      </c>
      <c r="G252" t="s">
        <v>381</v>
      </c>
      <c r="H252" t="s">
        <v>14</v>
      </c>
      <c r="I252" t="s">
        <v>14</v>
      </c>
    </row>
    <row r="253" spans="1:9">
      <c r="A253" t="s">
        <v>395</v>
      </c>
      <c r="B253" t="s">
        <v>380</v>
      </c>
      <c r="C253" t="s">
        <v>221</v>
      </c>
      <c r="D253" s="1">
        <v>20.91</v>
      </c>
      <c r="E253" s="2">
        <v>4.3</v>
      </c>
      <c r="F253" s="2">
        <v>89.91</v>
      </c>
      <c r="G253" t="s">
        <v>381</v>
      </c>
      <c r="H253" t="s">
        <v>14</v>
      </c>
      <c r="I253" t="s">
        <v>14</v>
      </c>
    </row>
    <row r="254" spans="1:9">
      <c r="A254" t="s">
        <v>396</v>
      </c>
      <c r="B254" t="s">
        <v>380</v>
      </c>
      <c r="C254" t="s">
        <v>215</v>
      </c>
      <c r="D254" s="1">
        <v>20.91</v>
      </c>
      <c r="E254" s="2">
        <v>6.1</v>
      </c>
      <c r="F254" s="2">
        <v>127.55</v>
      </c>
      <c r="G254" t="s">
        <v>381</v>
      </c>
      <c r="H254" t="s">
        <v>14</v>
      </c>
      <c r="I254" t="s">
        <v>14</v>
      </c>
    </row>
    <row r="255" spans="1:9">
      <c r="A255" t="s">
        <v>397</v>
      </c>
      <c r="B255" t="s">
        <v>380</v>
      </c>
      <c r="C255" t="s">
        <v>398</v>
      </c>
      <c r="D255" s="1">
        <v>21</v>
      </c>
      <c r="E255" s="2">
        <v>6.1</v>
      </c>
      <c r="F255" s="2">
        <v>128.1</v>
      </c>
      <c r="G255" t="s">
        <v>381</v>
      </c>
      <c r="H255" t="s">
        <v>14</v>
      </c>
      <c r="I255" t="s">
        <v>14</v>
      </c>
    </row>
    <row r="256" spans="1:9">
      <c r="A256" t="s">
        <v>399</v>
      </c>
      <c r="B256" t="s">
        <v>380</v>
      </c>
      <c r="C256" t="s">
        <v>204</v>
      </c>
      <c r="D256" s="1">
        <v>20.94</v>
      </c>
      <c r="E256" s="2">
        <v>4.3</v>
      </c>
      <c r="F256" s="2">
        <v>90.04</v>
      </c>
      <c r="G256" t="s">
        <v>381</v>
      </c>
      <c r="H256" t="s">
        <v>14</v>
      </c>
      <c r="I256" t="s">
        <v>14</v>
      </c>
    </row>
    <row r="257" spans="1:9">
      <c r="A257" t="s">
        <v>400</v>
      </c>
      <c r="B257" t="s">
        <v>380</v>
      </c>
      <c r="C257" t="s">
        <v>398</v>
      </c>
      <c r="D257" s="1">
        <v>21.03</v>
      </c>
      <c r="E257" s="2">
        <v>6.1</v>
      </c>
      <c r="F257" s="2">
        <v>128.28</v>
      </c>
      <c r="G257" t="s">
        <v>381</v>
      </c>
      <c r="H257" t="s">
        <v>14</v>
      </c>
      <c r="I257" t="s">
        <v>14</v>
      </c>
    </row>
    <row r="258" spans="1:9">
      <c r="A258" t="s">
        <v>401</v>
      </c>
      <c r="B258" t="s">
        <v>380</v>
      </c>
      <c r="C258" t="s">
        <v>235</v>
      </c>
      <c r="D258" s="1">
        <v>20.97</v>
      </c>
      <c r="E258" s="2">
        <v>6.1</v>
      </c>
      <c r="F258" s="2">
        <v>127.92</v>
      </c>
      <c r="G258" t="s">
        <v>381</v>
      </c>
      <c r="H258" t="s">
        <v>14</v>
      </c>
      <c r="I258" t="s">
        <v>14</v>
      </c>
    </row>
    <row r="259" spans="1:9">
      <c r="A259" t="s">
        <v>402</v>
      </c>
      <c r="B259" t="s">
        <v>380</v>
      </c>
      <c r="C259" t="s">
        <v>217</v>
      </c>
      <c r="D259" s="1">
        <v>21.09</v>
      </c>
      <c r="E259" s="2">
        <v>6.3</v>
      </c>
      <c r="F259" s="2">
        <v>132.87</v>
      </c>
      <c r="G259" t="s">
        <v>381</v>
      </c>
      <c r="H259" t="s">
        <v>14</v>
      </c>
      <c r="I259" t="s">
        <v>14</v>
      </c>
    </row>
    <row r="260" spans="1:9">
      <c r="A260" t="s">
        <v>403</v>
      </c>
      <c r="B260" t="s">
        <v>380</v>
      </c>
      <c r="C260" t="s">
        <v>219</v>
      </c>
      <c r="D260" s="1">
        <v>21.09</v>
      </c>
      <c r="E260" s="2">
        <v>3.25</v>
      </c>
      <c r="F260" s="2">
        <v>68.54</v>
      </c>
      <c r="G260" t="s">
        <v>381</v>
      </c>
      <c r="H260" t="s">
        <v>14</v>
      </c>
      <c r="I260" t="s">
        <v>14</v>
      </c>
    </row>
    <row r="261" spans="1:9">
      <c r="A261" t="s">
        <v>404</v>
      </c>
      <c r="B261" t="s">
        <v>380</v>
      </c>
      <c r="C261" t="s">
        <v>281</v>
      </c>
      <c r="D261" s="1">
        <v>21.07</v>
      </c>
      <c r="E261" s="2">
        <v>4.85</v>
      </c>
      <c r="F261" s="2">
        <v>102.19</v>
      </c>
      <c r="G261" t="s">
        <v>381</v>
      </c>
      <c r="H261" t="s">
        <v>14</v>
      </c>
      <c r="I261" t="s">
        <v>14</v>
      </c>
    </row>
    <row r="262" spans="1:9">
      <c r="A262" t="s">
        <v>405</v>
      </c>
      <c r="B262" t="s">
        <v>380</v>
      </c>
      <c r="C262" t="s">
        <v>406</v>
      </c>
      <c r="D262" s="1">
        <v>21.08</v>
      </c>
      <c r="E262" s="2">
        <v>4.3</v>
      </c>
      <c r="F262" s="2">
        <v>90.64</v>
      </c>
      <c r="G262" t="s">
        <v>381</v>
      </c>
      <c r="H262" t="s">
        <v>14</v>
      </c>
      <c r="I262" t="s">
        <v>14</v>
      </c>
    </row>
    <row r="263" spans="1:9">
      <c r="A263" t="s">
        <v>407</v>
      </c>
      <c r="B263" t="s">
        <v>380</v>
      </c>
      <c r="C263" t="s">
        <v>384</v>
      </c>
      <c r="D263" s="1">
        <v>21.06</v>
      </c>
      <c r="E263" s="2">
        <v>5.35</v>
      </c>
      <c r="F263" s="2">
        <v>112.67</v>
      </c>
      <c r="G263" t="s">
        <v>381</v>
      </c>
      <c r="H263" t="s">
        <v>14</v>
      </c>
      <c r="I263" t="s">
        <v>14</v>
      </c>
    </row>
    <row r="264" spans="1:9">
      <c r="A264" t="s">
        <v>408</v>
      </c>
      <c r="B264" t="s">
        <v>380</v>
      </c>
      <c r="C264" t="s">
        <v>248</v>
      </c>
      <c r="D264" s="1">
        <v>21.01</v>
      </c>
      <c r="E264" s="2">
        <v>5.85</v>
      </c>
      <c r="F264" s="2">
        <v>122.91</v>
      </c>
      <c r="G264" t="s">
        <v>381</v>
      </c>
      <c r="H264" t="s">
        <v>14</v>
      </c>
      <c r="I264" t="s">
        <v>14</v>
      </c>
    </row>
    <row r="265" spans="1:9">
      <c r="A265" t="s">
        <v>409</v>
      </c>
      <c r="B265" t="s">
        <v>380</v>
      </c>
      <c r="C265" t="s">
        <v>288</v>
      </c>
      <c r="D265" s="1">
        <v>21.03</v>
      </c>
      <c r="E265" s="2">
        <v>6.1</v>
      </c>
      <c r="F265" s="2">
        <v>128.28</v>
      </c>
      <c r="G265" t="s">
        <v>381</v>
      </c>
      <c r="H265" t="s">
        <v>14</v>
      </c>
      <c r="I265" t="s">
        <v>14</v>
      </c>
    </row>
    <row r="266" spans="1:9">
      <c r="A266" t="s">
        <v>410</v>
      </c>
      <c r="B266" t="s">
        <v>380</v>
      </c>
      <c r="C266" t="s">
        <v>219</v>
      </c>
      <c r="D266" s="1">
        <v>21.04</v>
      </c>
      <c r="E266" s="2">
        <v>3.25</v>
      </c>
      <c r="F266" s="2">
        <v>68.38</v>
      </c>
      <c r="G266" t="s">
        <v>381</v>
      </c>
      <c r="H266" t="s">
        <v>14</v>
      </c>
      <c r="I266" t="s">
        <v>14</v>
      </c>
    </row>
    <row r="267" spans="1:9">
      <c r="A267" t="s">
        <v>411</v>
      </c>
      <c r="B267" t="s">
        <v>380</v>
      </c>
      <c r="C267" t="s">
        <v>217</v>
      </c>
      <c r="D267" s="1">
        <v>21.04</v>
      </c>
      <c r="E267" s="2">
        <v>6.3</v>
      </c>
      <c r="F267" s="2">
        <v>132.55</v>
      </c>
      <c r="G267" t="s">
        <v>381</v>
      </c>
      <c r="H267" t="s">
        <v>14</v>
      </c>
      <c r="I267" t="s">
        <v>14</v>
      </c>
    </row>
    <row r="268" spans="1:9">
      <c r="A268" t="s">
        <v>412</v>
      </c>
      <c r="B268" t="s">
        <v>380</v>
      </c>
      <c r="C268" t="s">
        <v>217</v>
      </c>
      <c r="D268" s="1">
        <v>21.01</v>
      </c>
      <c r="E268" s="2">
        <v>6.3</v>
      </c>
      <c r="F268" s="2">
        <v>132.36</v>
      </c>
      <c r="G268" t="s">
        <v>381</v>
      </c>
      <c r="H268" t="s">
        <v>14</v>
      </c>
      <c r="I268" t="s">
        <v>14</v>
      </c>
    </row>
    <row r="269" spans="1:9">
      <c r="A269" t="s">
        <v>413</v>
      </c>
      <c r="B269" t="s">
        <v>380</v>
      </c>
      <c r="C269" t="s">
        <v>219</v>
      </c>
      <c r="D269" s="1">
        <v>21.05</v>
      </c>
      <c r="E269" s="2">
        <v>3.25</v>
      </c>
      <c r="F269" s="2">
        <v>68.41</v>
      </c>
      <c r="G269" t="s">
        <v>381</v>
      </c>
      <c r="H269" t="s">
        <v>14</v>
      </c>
      <c r="I269" t="s">
        <v>14</v>
      </c>
    </row>
    <row r="270" spans="1:9">
      <c r="A270" t="s">
        <v>414</v>
      </c>
      <c r="B270" t="s">
        <v>380</v>
      </c>
      <c r="C270" t="s">
        <v>293</v>
      </c>
      <c r="D270" s="1">
        <v>21.09</v>
      </c>
      <c r="E270" s="2">
        <v>5.85</v>
      </c>
      <c r="F270" s="2">
        <v>123.38</v>
      </c>
      <c r="G270" t="s">
        <v>381</v>
      </c>
      <c r="H270" t="s">
        <v>14</v>
      </c>
      <c r="I270" t="s">
        <v>14</v>
      </c>
    </row>
    <row r="271" spans="1:9">
      <c r="A271" t="s">
        <v>415</v>
      </c>
      <c r="B271" t="s">
        <v>380</v>
      </c>
      <c r="C271" t="s">
        <v>295</v>
      </c>
      <c r="D271" s="1">
        <v>21.08</v>
      </c>
      <c r="E271" s="2">
        <v>4.45</v>
      </c>
      <c r="F271" s="2">
        <v>93.81</v>
      </c>
      <c r="G271" t="s">
        <v>381</v>
      </c>
      <c r="H271" t="s">
        <v>14</v>
      </c>
      <c r="I271" t="s">
        <v>14</v>
      </c>
    </row>
    <row r="272" spans="1:9">
      <c r="A272" t="s">
        <v>416</v>
      </c>
      <c r="B272" t="s">
        <v>380</v>
      </c>
      <c r="C272" t="s">
        <v>224</v>
      </c>
      <c r="D272" s="1">
        <v>21.07</v>
      </c>
      <c r="E272" s="2">
        <v>4.45</v>
      </c>
      <c r="F272" s="2">
        <v>93.76</v>
      </c>
      <c r="G272" t="s">
        <v>381</v>
      </c>
      <c r="H272" t="s">
        <v>14</v>
      </c>
      <c r="I272" t="s">
        <v>14</v>
      </c>
    </row>
    <row r="273" spans="1:9">
      <c r="A273" t="s">
        <v>417</v>
      </c>
      <c r="B273" t="s">
        <v>380</v>
      </c>
      <c r="C273" t="s">
        <v>215</v>
      </c>
      <c r="D273" s="1">
        <v>21.06</v>
      </c>
      <c r="E273" s="2">
        <v>6.1</v>
      </c>
      <c r="F273" s="2">
        <v>128.47</v>
      </c>
      <c r="G273" t="s">
        <v>381</v>
      </c>
      <c r="H273" t="s">
        <v>14</v>
      </c>
      <c r="I273" t="s">
        <v>14</v>
      </c>
    </row>
    <row r="274" spans="1:9">
      <c r="A274" t="s">
        <v>418</v>
      </c>
      <c r="B274" t="s">
        <v>380</v>
      </c>
      <c r="C274" t="s">
        <v>419</v>
      </c>
      <c r="D274" s="1">
        <v>21.05</v>
      </c>
      <c r="E274" s="2">
        <v>5.6</v>
      </c>
      <c r="F274" s="2">
        <v>117.88</v>
      </c>
      <c r="G274" t="s">
        <v>381</v>
      </c>
      <c r="H274" t="s">
        <v>14</v>
      </c>
      <c r="I274" t="s">
        <v>14</v>
      </c>
    </row>
    <row r="275" spans="1:9">
      <c r="A275" t="s">
        <v>420</v>
      </c>
      <c r="B275" t="s">
        <v>380</v>
      </c>
      <c r="C275" t="s">
        <v>398</v>
      </c>
      <c r="D275" s="1">
        <v>21.11</v>
      </c>
      <c r="E275" s="2">
        <v>6.1</v>
      </c>
      <c r="F275" s="2">
        <v>128.77</v>
      </c>
      <c r="G275" t="s">
        <v>381</v>
      </c>
      <c r="H275" t="s">
        <v>14</v>
      </c>
      <c r="I275" t="s">
        <v>14</v>
      </c>
    </row>
    <row r="276" spans="1:9">
      <c r="A276" t="s">
        <v>421</v>
      </c>
      <c r="B276" t="s">
        <v>422</v>
      </c>
      <c r="C276" t="s">
        <v>217</v>
      </c>
      <c r="D276" s="1">
        <v>18.78</v>
      </c>
      <c r="E276" s="2">
        <v>6.3</v>
      </c>
      <c r="F276" s="2">
        <v>118.31</v>
      </c>
      <c r="G276" t="s">
        <v>423</v>
      </c>
      <c r="H276" t="s">
        <v>14</v>
      </c>
      <c r="I276" t="s">
        <v>14</v>
      </c>
    </row>
    <row r="277" spans="1:9">
      <c r="A277" t="s">
        <v>424</v>
      </c>
      <c r="B277" t="s">
        <v>422</v>
      </c>
      <c r="C277" t="s">
        <v>207</v>
      </c>
      <c r="D277" s="1">
        <v>18.81</v>
      </c>
      <c r="E277" s="2">
        <v>4.3</v>
      </c>
      <c r="F277" s="2">
        <v>80.88</v>
      </c>
      <c r="G277" t="s">
        <v>423</v>
      </c>
      <c r="H277" t="s">
        <v>14</v>
      </c>
      <c r="I277" t="s">
        <v>14</v>
      </c>
    </row>
    <row r="278" spans="1:9">
      <c r="A278" t="s">
        <v>425</v>
      </c>
      <c r="B278" t="s">
        <v>422</v>
      </c>
      <c r="C278" t="s">
        <v>233</v>
      </c>
      <c r="D278" s="1">
        <v>18.74</v>
      </c>
      <c r="E278" s="2">
        <v>3.25</v>
      </c>
      <c r="F278" s="2">
        <v>60.9</v>
      </c>
      <c r="G278" t="s">
        <v>423</v>
      </c>
      <c r="H278" t="s">
        <v>14</v>
      </c>
      <c r="I278" t="s">
        <v>14</v>
      </c>
    </row>
    <row r="279" spans="1:9">
      <c r="A279" t="s">
        <v>426</v>
      </c>
      <c r="B279" t="s">
        <v>422</v>
      </c>
      <c r="C279" t="s">
        <v>235</v>
      </c>
      <c r="D279" s="1">
        <v>18.82</v>
      </c>
      <c r="E279" s="2">
        <v>6.1</v>
      </c>
      <c r="F279" s="2">
        <v>114.8</v>
      </c>
      <c r="G279" t="s">
        <v>423</v>
      </c>
      <c r="H279" t="s">
        <v>14</v>
      </c>
      <c r="I279" t="s">
        <v>14</v>
      </c>
    </row>
    <row r="280" spans="1:9">
      <c r="A280" t="s">
        <v>427</v>
      </c>
      <c r="B280" t="s">
        <v>422</v>
      </c>
      <c r="C280" t="s">
        <v>428</v>
      </c>
      <c r="D280" s="1">
        <v>18.82</v>
      </c>
      <c r="E280" s="2">
        <v>4.45</v>
      </c>
      <c r="F280" s="2">
        <v>83.75</v>
      </c>
      <c r="G280" t="s">
        <v>423</v>
      </c>
      <c r="H280" t="s">
        <v>14</v>
      </c>
      <c r="I280" t="s">
        <v>14</v>
      </c>
    </row>
    <row r="281" spans="1:9">
      <c r="A281" t="s">
        <v>429</v>
      </c>
      <c r="B281" t="s">
        <v>422</v>
      </c>
      <c r="C281" t="s">
        <v>217</v>
      </c>
      <c r="D281" s="1">
        <v>18.81</v>
      </c>
      <c r="E281" s="2">
        <v>6.3</v>
      </c>
      <c r="F281" s="2">
        <v>118.5</v>
      </c>
      <c r="G281" t="s">
        <v>423</v>
      </c>
      <c r="H281" t="s">
        <v>14</v>
      </c>
      <c r="I281" t="s">
        <v>14</v>
      </c>
    </row>
    <row r="282" spans="1:9">
      <c r="A282" t="s">
        <v>430</v>
      </c>
      <c r="B282" t="s">
        <v>422</v>
      </c>
      <c r="C282" t="s">
        <v>229</v>
      </c>
      <c r="D282" s="1">
        <v>18.86</v>
      </c>
      <c r="E282" s="2">
        <v>4.45</v>
      </c>
      <c r="F282" s="2">
        <v>83.93</v>
      </c>
      <c r="G282" t="s">
        <v>423</v>
      </c>
      <c r="H282" t="s">
        <v>14</v>
      </c>
      <c r="I282" t="s">
        <v>14</v>
      </c>
    </row>
    <row r="283" spans="1:9">
      <c r="A283" t="s">
        <v>431</v>
      </c>
      <c r="B283" t="s">
        <v>422</v>
      </c>
      <c r="C283" t="s">
        <v>215</v>
      </c>
      <c r="D283" s="1">
        <v>18.8</v>
      </c>
      <c r="E283" s="2">
        <v>6.1</v>
      </c>
      <c r="F283" s="2">
        <v>114.68</v>
      </c>
      <c r="G283" t="s">
        <v>423</v>
      </c>
      <c r="H283" t="s">
        <v>14</v>
      </c>
      <c r="I283" t="s">
        <v>14</v>
      </c>
    </row>
    <row r="284" spans="1:9">
      <c r="A284" t="s">
        <v>432</v>
      </c>
      <c r="B284" t="s">
        <v>422</v>
      </c>
      <c r="C284" t="s">
        <v>433</v>
      </c>
      <c r="D284" s="1">
        <v>18.79</v>
      </c>
      <c r="E284" s="2">
        <v>6.3</v>
      </c>
      <c r="F284" s="2">
        <v>118.38</v>
      </c>
      <c r="G284" t="s">
        <v>423</v>
      </c>
      <c r="H284" t="s">
        <v>14</v>
      </c>
      <c r="I284" t="s">
        <v>14</v>
      </c>
    </row>
    <row r="285" spans="1:9">
      <c r="A285" t="s">
        <v>434</v>
      </c>
      <c r="B285" t="s">
        <v>422</v>
      </c>
      <c r="C285" t="s">
        <v>215</v>
      </c>
      <c r="D285" s="1">
        <v>18.76</v>
      </c>
      <c r="E285" s="2">
        <v>6.1</v>
      </c>
      <c r="F285" s="2">
        <v>114.44</v>
      </c>
      <c r="G285" t="s">
        <v>423</v>
      </c>
      <c r="H285" t="s">
        <v>14</v>
      </c>
      <c r="I285" t="s">
        <v>14</v>
      </c>
    </row>
    <row r="286" spans="1:9">
      <c r="A286" t="s">
        <v>435</v>
      </c>
      <c r="B286" t="s">
        <v>422</v>
      </c>
      <c r="C286" t="s">
        <v>233</v>
      </c>
      <c r="D286" s="1">
        <v>18.81</v>
      </c>
      <c r="E286" s="2">
        <v>3.25</v>
      </c>
      <c r="F286" s="2">
        <v>61.13</v>
      </c>
      <c r="G286" t="s">
        <v>423</v>
      </c>
      <c r="H286" t="s">
        <v>14</v>
      </c>
      <c r="I286" t="s">
        <v>14</v>
      </c>
    </row>
    <row r="287" spans="1:9">
      <c r="A287" t="s">
        <v>436</v>
      </c>
      <c r="B287" t="s">
        <v>422</v>
      </c>
      <c r="C287" t="s">
        <v>235</v>
      </c>
      <c r="D287" s="1">
        <v>18.91</v>
      </c>
      <c r="E287" s="2">
        <v>6.1</v>
      </c>
      <c r="F287" s="2">
        <v>115.35</v>
      </c>
      <c r="G287" t="s">
        <v>423</v>
      </c>
      <c r="H287" t="s">
        <v>14</v>
      </c>
      <c r="I287" t="s">
        <v>14</v>
      </c>
    </row>
    <row r="288" spans="1:9">
      <c r="A288" t="s">
        <v>437</v>
      </c>
      <c r="B288" t="s">
        <v>422</v>
      </c>
      <c r="C288" t="s">
        <v>226</v>
      </c>
      <c r="D288" s="1">
        <v>18.85</v>
      </c>
      <c r="E288" s="2">
        <v>5.6</v>
      </c>
      <c r="F288" s="2">
        <v>105.56</v>
      </c>
      <c r="G288" t="s">
        <v>423</v>
      </c>
      <c r="H288" t="s">
        <v>14</v>
      </c>
      <c r="I288" t="s">
        <v>14</v>
      </c>
    </row>
    <row r="289" spans="1:9">
      <c r="A289" t="s">
        <v>438</v>
      </c>
      <c r="B289" t="s">
        <v>422</v>
      </c>
      <c r="C289" t="s">
        <v>439</v>
      </c>
      <c r="D289" s="1">
        <v>18.91</v>
      </c>
      <c r="E289" s="2">
        <v>5.85</v>
      </c>
      <c r="F289" s="2">
        <v>110.62</v>
      </c>
      <c r="G289" t="s">
        <v>423</v>
      </c>
      <c r="H289" t="s">
        <v>14</v>
      </c>
      <c r="I289" t="s">
        <v>14</v>
      </c>
    </row>
    <row r="290" spans="1:9">
      <c r="A290" t="s">
        <v>440</v>
      </c>
      <c r="B290" t="s">
        <v>422</v>
      </c>
      <c r="C290" t="s">
        <v>219</v>
      </c>
      <c r="D290" s="1">
        <v>18.86</v>
      </c>
      <c r="E290" s="2">
        <v>3.25</v>
      </c>
      <c r="F290" s="2">
        <v>61.3</v>
      </c>
      <c r="G290" t="s">
        <v>423</v>
      </c>
      <c r="H290" t="s">
        <v>14</v>
      </c>
      <c r="I290" t="s">
        <v>14</v>
      </c>
    </row>
    <row r="291" spans="1:9">
      <c r="A291" t="s">
        <v>441</v>
      </c>
      <c r="B291" t="s">
        <v>422</v>
      </c>
      <c r="C291" t="s">
        <v>406</v>
      </c>
      <c r="D291" s="1">
        <v>18.85</v>
      </c>
      <c r="E291" s="2">
        <v>4.3</v>
      </c>
      <c r="F291" s="2">
        <v>81.06</v>
      </c>
      <c r="G291" t="s">
        <v>423</v>
      </c>
      <c r="H291" t="s">
        <v>14</v>
      </c>
      <c r="I291" t="s">
        <v>14</v>
      </c>
    </row>
    <row r="292" spans="1:9">
      <c r="A292" t="s">
        <v>442</v>
      </c>
      <c r="B292" t="s">
        <v>422</v>
      </c>
      <c r="C292" t="s">
        <v>224</v>
      </c>
      <c r="D292" s="1">
        <v>18.85</v>
      </c>
      <c r="E292" s="2">
        <v>4.45</v>
      </c>
      <c r="F292" s="2">
        <v>83.88</v>
      </c>
      <c r="G292" t="s">
        <v>423</v>
      </c>
      <c r="H292" t="s">
        <v>14</v>
      </c>
      <c r="I292" t="s">
        <v>14</v>
      </c>
    </row>
    <row r="293" spans="1:9">
      <c r="A293" t="s">
        <v>443</v>
      </c>
      <c r="B293" t="s">
        <v>422</v>
      </c>
      <c r="C293" t="s">
        <v>384</v>
      </c>
      <c r="D293" s="1">
        <v>18.86</v>
      </c>
      <c r="E293" s="2">
        <v>5.35</v>
      </c>
      <c r="F293" s="2">
        <v>100.9</v>
      </c>
      <c r="G293" t="s">
        <v>423</v>
      </c>
      <c r="H293" t="s">
        <v>14</v>
      </c>
      <c r="I293" t="s">
        <v>14</v>
      </c>
    </row>
    <row r="294" spans="1:9">
      <c r="A294" t="s">
        <v>444</v>
      </c>
      <c r="B294" t="s">
        <v>422</v>
      </c>
      <c r="C294" t="s">
        <v>248</v>
      </c>
      <c r="D294" s="1">
        <v>18.85</v>
      </c>
      <c r="E294" s="2">
        <v>5.85</v>
      </c>
      <c r="F294" s="2">
        <v>110.27</v>
      </c>
      <c r="G294" t="s">
        <v>423</v>
      </c>
      <c r="H294" t="s">
        <v>14</v>
      </c>
      <c r="I294" t="s">
        <v>14</v>
      </c>
    </row>
    <row r="295" spans="1:9">
      <c r="A295" t="s">
        <v>445</v>
      </c>
      <c r="B295" t="s">
        <v>422</v>
      </c>
      <c r="C295" t="s">
        <v>288</v>
      </c>
      <c r="D295" s="1">
        <v>18.83</v>
      </c>
      <c r="E295" s="2">
        <v>6.1</v>
      </c>
      <c r="F295" s="2">
        <v>114.86</v>
      </c>
      <c r="G295" t="s">
        <v>423</v>
      </c>
      <c r="H295" t="s">
        <v>14</v>
      </c>
      <c r="I295" t="s">
        <v>14</v>
      </c>
    </row>
    <row r="296" spans="1:9">
      <c r="A296" t="s">
        <v>446</v>
      </c>
      <c r="B296" t="s">
        <v>422</v>
      </c>
      <c r="C296" t="s">
        <v>224</v>
      </c>
      <c r="D296" s="1">
        <v>18.89</v>
      </c>
      <c r="E296" s="2">
        <v>4.45</v>
      </c>
      <c r="F296" s="2">
        <v>84.06</v>
      </c>
      <c r="G296" t="s">
        <v>423</v>
      </c>
      <c r="H296" t="s">
        <v>14</v>
      </c>
      <c r="I296" t="s">
        <v>14</v>
      </c>
    </row>
    <row r="297" spans="1:9">
      <c r="A297" t="s">
        <v>447</v>
      </c>
      <c r="B297" t="s">
        <v>422</v>
      </c>
      <c r="C297" t="s">
        <v>253</v>
      </c>
      <c r="D297" s="1">
        <v>18.89</v>
      </c>
      <c r="E297" s="2">
        <v>5.85</v>
      </c>
      <c r="F297" s="2">
        <v>110.51</v>
      </c>
      <c r="G297" t="s">
        <v>423</v>
      </c>
      <c r="H297" t="s">
        <v>14</v>
      </c>
      <c r="I297" t="s">
        <v>14</v>
      </c>
    </row>
    <row r="298" spans="1:9">
      <c r="A298" t="s">
        <v>448</v>
      </c>
      <c r="B298" t="s">
        <v>422</v>
      </c>
      <c r="C298" t="s">
        <v>217</v>
      </c>
      <c r="D298" s="1">
        <v>18.88</v>
      </c>
      <c r="E298" s="2">
        <v>6.3</v>
      </c>
      <c r="F298" s="2">
        <v>118.94</v>
      </c>
      <c r="G298" t="s">
        <v>423</v>
      </c>
      <c r="H298" t="s">
        <v>14</v>
      </c>
      <c r="I298" t="s">
        <v>14</v>
      </c>
    </row>
    <row r="299" spans="1:9">
      <c r="A299" t="s">
        <v>449</v>
      </c>
      <c r="B299" t="s">
        <v>422</v>
      </c>
      <c r="C299" t="s">
        <v>224</v>
      </c>
      <c r="D299" s="1">
        <v>18.8</v>
      </c>
      <c r="E299" s="2">
        <v>4.45</v>
      </c>
      <c r="F299" s="2">
        <v>83.66</v>
      </c>
      <c r="G299" t="s">
        <v>423</v>
      </c>
      <c r="H299" t="s">
        <v>14</v>
      </c>
      <c r="I299" t="s">
        <v>14</v>
      </c>
    </row>
    <row r="300" spans="1:9">
      <c r="A300" t="s">
        <v>450</v>
      </c>
      <c r="B300" t="s">
        <v>422</v>
      </c>
      <c r="C300" t="s">
        <v>288</v>
      </c>
      <c r="D300" s="1">
        <v>18.86</v>
      </c>
      <c r="E300" s="2">
        <v>6.1</v>
      </c>
      <c r="F300" s="2">
        <v>115.05</v>
      </c>
      <c r="G300" t="s">
        <v>423</v>
      </c>
      <c r="H300" t="s">
        <v>14</v>
      </c>
      <c r="I300" t="s">
        <v>14</v>
      </c>
    </row>
    <row r="301" spans="1:9">
      <c r="A301" t="s">
        <v>451</v>
      </c>
      <c r="B301" t="s">
        <v>422</v>
      </c>
      <c r="C301" t="s">
        <v>235</v>
      </c>
      <c r="D301" s="1">
        <v>18.95</v>
      </c>
      <c r="E301" s="2">
        <v>6.1</v>
      </c>
      <c r="F301" s="2">
        <v>115.59</v>
      </c>
      <c r="G301" t="s">
        <v>423</v>
      </c>
      <c r="H301" t="s">
        <v>14</v>
      </c>
      <c r="I301" t="s">
        <v>14</v>
      </c>
    </row>
    <row r="302" spans="1:9">
      <c r="A302" t="s">
        <v>452</v>
      </c>
      <c r="B302" t="s">
        <v>422</v>
      </c>
      <c r="C302" t="s">
        <v>224</v>
      </c>
      <c r="D302" s="1">
        <v>18.88</v>
      </c>
      <c r="E302" s="2">
        <v>4.45</v>
      </c>
      <c r="F302" s="2">
        <v>84.02</v>
      </c>
      <c r="G302" t="s">
        <v>423</v>
      </c>
      <c r="H302" t="s">
        <v>14</v>
      </c>
      <c r="I302" t="s">
        <v>14</v>
      </c>
    </row>
    <row r="303" spans="1:9">
      <c r="A303" t="s">
        <v>453</v>
      </c>
      <c r="B303" t="s">
        <v>422</v>
      </c>
      <c r="C303" t="s">
        <v>248</v>
      </c>
      <c r="D303" s="1">
        <v>18.96</v>
      </c>
      <c r="E303" s="2">
        <v>5.85</v>
      </c>
      <c r="F303" s="2">
        <v>110.92</v>
      </c>
      <c r="G303" t="s">
        <v>423</v>
      </c>
      <c r="H303" t="s">
        <v>14</v>
      </c>
      <c r="I303" t="s">
        <v>14</v>
      </c>
    </row>
    <row r="304" spans="1:9">
      <c r="A304" t="s">
        <v>454</v>
      </c>
      <c r="B304" t="s">
        <v>422</v>
      </c>
      <c r="C304" t="s">
        <v>215</v>
      </c>
      <c r="D304" s="1">
        <v>18.93</v>
      </c>
      <c r="E304" s="2">
        <v>6.1</v>
      </c>
      <c r="F304" s="2">
        <v>115.47</v>
      </c>
      <c r="G304" t="s">
        <v>423</v>
      </c>
      <c r="H304" t="s">
        <v>14</v>
      </c>
      <c r="I304" t="s">
        <v>14</v>
      </c>
    </row>
    <row r="305" spans="1:9">
      <c r="A305" t="s">
        <v>455</v>
      </c>
      <c r="B305" t="s">
        <v>422</v>
      </c>
      <c r="C305" t="s">
        <v>456</v>
      </c>
      <c r="D305" s="1">
        <v>18.94</v>
      </c>
      <c r="E305" s="2">
        <v>4.45</v>
      </c>
      <c r="F305" s="2">
        <v>84.28</v>
      </c>
      <c r="G305" t="s">
        <v>423</v>
      </c>
      <c r="H305" t="s">
        <v>14</v>
      </c>
      <c r="I305" t="s">
        <v>14</v>
      </c>
    </row>
    <row r="306" spans="1:9">
      <c r="A306" t="s">
        <v>457</v>
      </c>
      <c r="B306" t="s">
        <v>422</v>
      </c>
      <c r="C306" t="s">
        <v>224</v>
      </c>
      <c r="D306" s="1">
        <v>18.87</v>
      </c>
      <c r="E306" s="2">
        <v>4.45</v>
      </c>
      <c r="F306" s="2">
        <v>83.97</v>
      </c>
      <c r="G306" t="s">
        <v>423</v>
      </c>
      <c r="H306" t="s">
        <v>14</v>
      </c>
      <c r="I306" t="s">
        <v>14</v>
      </c>
    </row>
    <row r="307" spans="1:9">
      <c r="A307" t="s">
        <v>458</v>
      </c>
      <c r="B307" t="s">
        <v>422</v>
      </c>
      <c r="C307" t="s">
        <v>248</v>
      </c>
      <c r="D307" s="1">
        <v>18.86</v>
      </c>
      <c r="E307" s="2">
        <v>5.85</v>
      </c>
      <c r="F307" s="2">
        <v>110.33</v>
      </c>
      <c r="G307" t="s">
        <v>423</v>
      </c>
      <c r="H307" t="s">
        <v>14</v>
      </c>
      <c r="I307" t="s">
        <v>14</v>
      </c>
    </row>
    <row r="308" spans="1:9">
      <c r="A308" t="s">
        <v>459</v>
      </c>
      <c r="B308" t="s">
        <v>460</v>
      </c>
      <c r="C308" t="s">
        <v>461</v>
      </c>
      <c r="D308" s="1">
        <v>22.6</v>
      </c>
      <c r="E308" s="2">
        <v>4.85</v>
      </c>
      <c r="F308" s="2">
        <v>109.61</v>
      </c>
      <c r="G308" t="s">
        <v>462</v>
      </c>
      <c r="H308" t="s">
        <v>14</v>
      </c>
      <c r="I308" t="s">
        <v>14</v>
      </c>
    </row>
    <row r="309" spans="1:9">
      <c r="A309" t="s">
        <v>463</v>
      </c>
      <c r="B309" t="s">
        <v>460</v>
      </c>
      <c r="C309" t="s">
        <v>464</v>
      </c>
      <c r="D309" s="1">
        <v>22.61</v>
      </c>
      <c r="E309" s="2">
        <v>4.05</v>
      </c>
      <c r="F309" s="2">
        <v>91.57</v>
      </c>
      <c r="G309" t="s">
        <v>462</v>
      </c>
      <c r="H309" t="s">
        <v>14</v>
      </c>
      <c r="I309" t="s">
        <v>14</v>
      </c>
    </row>
    <row r="310" spans="1:9">
      <c r="A310" t="s">
        <v>465</v>
      </c>
      <c r="B310" t="s">
        <v>460</v>
      </c>
      <c r="C310" t="s">
        <v>461</v>
      </c>
      <c r="D310" s="1">
        <v>22.53</v>
      </c>
      <c r="E310" s="2">
        <v>4.85</v>
      </c>
      <c r="F310" s="2">
        <v>109.27</v>
      </c>
      <c r="G310" t="s">
        <v>462</v>
      </c>
      <c r="H310" t="s">
        <v>14</v>
      </c>
      <c r="I310" t="s">
        <v>14</v>
      </c>
    </row>
    <row r="311" spans="1:9">
      <c r="A311" t="s">
        <v>466</v>
      </c>
      <c r="B311" t="s">
        <v>460</v>
      </c>
      <c r="C311" t="s">
        <v>467</v>
      </c>
      <c r="D311" s="1">
        <v>22.62</v>
      </c>
      <c r="E311" s="2">
        <v>3.6</v>
      </c>
      <c r="F311" s="2">
        <v>81.43</v>
      </c>
      <c r="G311" t="s">
        <v>462</v>
      </c>
      <c r="H311" t="s">
        <v>14</v>
      </c>
      <c r="I311" t="s">
        <v>14</v>
      </c>
    </row>
    <row r="312" spans="1:9">
      <c r="A312" t="s">
        <v>468</v>
      </c>
      <c r="B312" t="s">
        <v>460</v>
      </c>
      <c r="C312" t="s">
        <v>469</v>
      </c>
      <c r="D312" s="1">
        <v>22.61</v>
      </c>
      <c r="E312" s="2">
        <v>3.25</v>
      </c>
      <c r="F312" s="2">
        <v>73.48</v>
      </c>
      <c r="G312" t="s">
        <v>462</v>
      </c>
      <c r="H312" t="s">
        <v>14</v>
      </c>
      <c r="I312" t="s">
        <v>14</v>
      </c>
    </row>
    <row r="313" spans="1:9">
      <c r="A313" t="s">
        <v>470</v>
      </c>
      <c r="B313" t="s">
        <v>460</v>
      </c>
      <c r="C313" t="s">
        <v>469</v>
      </c>
      <c r="D313" s="1">
        <v>22.59</v>
      </c>
      <c r="E313" s="2">
        <v>3.25</v>
      </c>
      <c r="F313" s="2">
        <v>73.42</v>
      </c>
      <c r="G313" t="s">
        <v>462</v>
      </c>
      <c r="H313" t="s">
        <v>14</v>
      </c>
      <c r="I313" t="s">
        <v>14</v>
      </c>
    </row>
    <row r="314" spans="1:9">
      <c r="A314" t="s">
        <v>471</v>
      </c>
      <c r="B314" t="s">
        <v>460</v>
      </c>
      <c r="C314" t="s">
        <v>461</v>
      </c>
      <c r="D314" s="1">
        <v>22.59</v>
      </c>
      <c r="E314" s="2">
        <v>4.85</v>
      </c>
      <c r="F314" s="2">
        <v>109.56</v>
      </c>
      <c r="G314" t="s">
        <v>462</v>
      </c>
      <c r="H314" t="s">
        <v>14</v>
      </c>
      <c r="I314" t="s">
        <v>14</v>
      </c>
    </row>
    <row r="315" spans="1:9">
      <c r="A315" t="s">
        <v>472</v>
      </c>
      <c r="B315" t="s">
        <v>460</v>
      </c>
      <c r="C315" t="s">
        <v>469</v>
      </c>
      <c r="D315" s="1">
        <v>22.54</v>
      </c>
      <c r="E315" s="2">
        <v>3.25</v>
      </c>
      <c r="F315" s="2">
        <v>73.26</v>
      </c>
      <c r="G315" t="s">
        <v>462</v>
      </c>
      <c r="H315" t="s">
        <v>14</v>
      </c>
      <c r="I315" t="s">
        <v>14</v>
      </c>
    </row>
    <row r="316" spans="1:9">
      <c r="A316" t="s">
        <v>473</v>
      </c>
      <c r="B316" t="s">
        <v>460</v>
      </c>
      <c r="C316" t="s">
        <v>469</v>
      </c>
      <c r="D316" s="1">
        <v>22.64</v>
      </c>
      <c r="E316" s="2">
        <v>3.25</v>
      </c>
      <c r="F316" s="2">
        <v>73.58</v>
      </c>
      <c r="G316" t="s">
        <v>462</v>
      </c>
      <c r="H316" t="s">
        <v>14</v>
      </c>
      <c r="I316" t="s">
        <v>14</v>
      </c>
    </row>
    <row r="317" spans="1:9">
      <c r="A317" t="s">
        <v>474</v>
      </c>
      <c r="B317" t="s">
        <v>460</v>
      </c>
      <c r="C317" t="s">
        <v>475</v>
      </c>
      <c r="D317" s="1">
        <v>22.55</v>
      </c>
      <c r="E317" s="2">
        <v>5.85</v>
      </c>
      <c r="F317" s="2">
        <v>131.92</v>
      </c>
      <c r="G317" t="s">
        <v>462</v>
      </c>
      <c r="H317" t="s">
        <v>14</v>
      </c>
      <c r="I317" t="s">
        <v>14</v>
      </c>
    </row>
    <row r="318" spans="1:9">
      <c r="A318" t="s">
        <v>476</v>
      </c>
      <c r="B318" t="s">
        <v>460</v>
      </c>
      <c r="C318" t="s">
        <v>477</v>
      </c>
      <c r="D318" s="1">
        <v>20.67</v>
      </c>
      <c r="E318" s="2">
        <v>5.85</v>
      </c>
      <c r="F318" s="2">
        <v>120.92</v>
      </c>
      <c r="G318" t="s">
        <v>462</v>
      </c>
      <c r="H318" t="s">
        <v>14</v>
      </c>
      <c r="I318" t="s">
        <v>14</v>
      </c>
    </row>
    <row r="319" spans="1:9">
      <c r="A319" t="s">
        <v>478</v>
      </c>
      <c r="B319" t="s">
        <v>460</v>
      </c>
      <c r="C319" t="s">
        <v>469</v>
      </c>
      <c r="D319" s="1">
        <v>20.78</v>
      </c>
      <c r="E319" s="2">
        <v>3.25</v>
      </c>
      <c r="F319" s="2">
        <v>67.54</v>
      </c>
      <c r="G319" t="s">
        <v>462</v>
      </c>
      <c r="H319" t="s">
        <v>14</v>
      </c>
      <c r="I319" t="s">
        <v>14</v>
      </c>
    </row>
    <row r="320" spans="1:9">
      <c r="A320" t="s">
        <v>479</v>
      </c>
      <c r="B320" t="s">
        <v>460</v>
      </c>
      <c r="C320" t="s">
        <v>480</v>
      </c>
      <c r="D320" s="1">
        <v>20.75</v>
      </c>
      <c r="E320" s="2">
        <v>4.85</v>
      </c>
      <c r="F320" s="2">
        <v>100.64</v>
      </c>
      <c r="G320" t="s">
        <v>462</v>
      </c>
      <c r="H320" t="s">
        <v>14</v>
      </c>
      <c r="I320" t="s">
        <v>14</v>
      </c>
    </row>
    <row r="321" spans="1:9">
      <c r="A321" t="s">
        <v>481</v>
      </c>
      <c r="B321" t="s">
        <v>460</v>
      </c>
      <c r="C321" t="s">
        <v>469</v>
      </c>
      <c r="D321" s="1">
        <v>20.82</v>
      </c>
      <c r="E321" s="2">
        <v>3.25</v>
      </c>
      <c r="F321" s="2">
        <v>67.67</v>
      </c>
      <c r="G321" t="s">
        <v>462</v>
      </c>
      <c r="H321" t="s">
        <v>14</v>
      </c>
      <c r="I321" t="s">
        <v>14</v>
      </c>
    </row>
    <row r="322" spans="1:9">
      <c r="A322" t="s">
        <v>482</v>
      </c>
      <c r="B322" t="s">
        <v>460</v>
      </c>
      <c r="C322" t="s">
        <v>464</v>
      </c>
      <c r="D322" s="1">
        <v>20.86</v>
      </c>
      <c r="E322" s="2">
        <v>4.05</v>
      </c>
      <c r="F322" s="2">
        <v>84.48</v>
      </c>
      <c r="G322" t="s">
        <v>462</v>
      </c>
      <c r="H322" t="s">
        <v>14</v>
      </c>
      <c r="I322" t="s">
        <v>14</v>
      </c>
    </row>
    <row r="323" spans="1:9">
      <c r="A323" t="s">
        <v>483</v>
      </c>
      <c r="B323" t="s">
        <v>460</v>
      </c>
      <c r="C323" t="s">
        <v>464</v>
      </c>
      <c r="D323" s="1">
        <v>20.86</v>
      </c>
      <c r="E323" s="2">
        <v>4.05</v>
      </c>
      <c r="F323" s="2">
        <v>84.48</v>
      </c>
      <c r="G323" t="s">
        <v>462</v>
      </c>
      <c r="H323" t="s">
        <v>14</v>
      </c>
      <c r="I323" t="s">
        <v>14</v>
      </c>
    </row>
    <row r="324" spans="1:9">
      <c r="A324" t="s">
        <v>484</v>
      </c>
      <c r="B324" t="s">
        <v>460</v>
      </c>
      <c r="C324" t="s">
        <v>464</v>
      </c>
      <c r="D324" s="1">
        <v>20.78</v>
      </c>
      <c r="E324" s="2">
        <v>4.05</v>
      </c>
      <c r="F324" s="2">
        <v>84.16</v>
      </c>
      <c r="G324" t="s">
        <v>462</v>
      </c>
      <c r="H324" t="s">
        <v>14</v>
      </c>
      <c r="I324" t="s">
        <v>14</v>
      </c>
    </row>
    <row r="325" spans="1:9">
      <c r="A325" t="s">
        <v>485</v>
      </c>
      <c r="B325" t="s">
        <v>460</v>
      </c>
      <c r="C325" t="s">
        <v>461</v>
      </c>
      <c r="D325" s="1">
        <v>19.91</v>
      </c>
      <c r="E325" s="2">
        <v>4.85</v>
      </c>
      <c r="F325" s="2">
        <v>96.56</v>
      </c>
      <c r="G325" t="s">
        <v>462</v>
      </c>
      <c r="H325" t="s">
        <v>14</v>
      </c>
      <c r="I325" t="s">
        <v>14</v>
      </c>
    </row>
    <row r="326" spans="1:9">
      <c r="A326" t="s">
        <v>486</v>
      </c>
      <c r="B326" t="s">
        <v>460</v>
      </c>
      <c r="C326" t="s">
        <v>469</v>
      </c>
      <c r="D326" s="1">
        <v>22.8</v>
      </c>
      <c r="E326" s="2">
        <v>3.25</v>
      </c>
      <c r="F326" s="2">
        <v>74.1</v>
      </c>
      <c r="G326" t="s">
        <v>462</v>
      </c>
      <c r="H326" t="s">
        <v>14</v>
      </c>
      <c r="I326" t="s">
        <v>14</v>
      </c>
    </row>
    <row r="327" spans="1:9">
      <c r="A327" t="s">
        <v>487</v>
      </c>
      <c r="B327" t="s">
        <v>460</v>
      </c>
      <c r="C327" t="s">
        <v>467</v>
      </c>
      <c r="D327" s="1">
        <v>22.84</v>
      </c>
      <c r="E327" s="2">
        <v>3.6</v>
      </c>
      <c r="F327" s="2">
        <v>82.22</v>
      </c>
      <c r="G327" t="s">
        <v>462</v>
      </c>
      <c r="H327" t="s">
        <v>14</v>
      </c>
      <c r="I327" t="s">
        <v>14</v>
      </c>
    </row>
    <row r="328" spans="1:9">
      <c r="A328" t="s">
        <v>488</v>
      </c>
      <c r="B328" t="s">
        <v>460</v>
      </c>
      <c r="C328" t="s">
        <v>469</v>
      </c>
      <c r="D328" s="1">
        <v>22.87</v>
      </c>
      <c r="E328" s="2">
        <v>3.25</v>
      </c>
      <c r="F328" s="2">
        <v>74.33</v>
      </c>
      <c r="G328" t="s">
        <v>462</v>
      </c>
      <c r="H328" t="s">
        <v>14</v>
      </c>
      <c r="I328" t="s">
        <v>14</v>
      </c>
    </row>
    <row r="329" spans="1:9">
      <c r="A329" t="s">
        <v>489</v>
      </c>
      <c r="B329" t="s">
        <v>460</v>
      </c>
      <c r="C329" t="s">
        <v>477</v>
      </c>
      <c r="D329" s="1">
        <v>22.92</v>
      </c>
      <c r="E329" s="2">
        <v>5.85</v>
      </c>
      <c r="F329" s="2">
        <v>134.08</v>
      </c>
      <c r="G329" t="s">
        <v>462</v>
      </c>
      <c r="H329" t="s">
        <v>14</v>
      </c>
      <c r="I329" t="s">
        <v>14</v>
      </c>
    </row>
    <row r="330" spans="1:9">
      <c r="A330" t="s">
        <v>490</v>
      </c>
      <c r="B330" t="s">
        <v>460</v>
      </c>
      <c r="C330" t="s">
        <v>469</v>
      </c>
      <c r="D330" s="1">
        <v>22.89</v>
      </c>
      <c r="E330" s="2">
        <v>3.25</v>
      </c>
      <c r="F330" s="2">
        <v>74.39</v>
      </c>
      <c r="G330" t="s">
        <v>462</v>
      </c>
      <c r="H330" t="s">
        <v>14</v>
      </c>
      <c r="I330" t="s">
        <v>14</v>
      </c>
    </row>
    <row r="331" spans="1:9">
      <c r="A331" t="s">
        <v>491</v>
      </c>
      <c r="B331" t="s">
        <v>460</v>
      </c>
      <c r="C331" t="s">
        <v>492</v>
      </c>
      <c r="D331" s="1">
        <v>22.86</v>
      </c>
      <c r="E331" s="2">
        <v>5.05</v>
      </c>
      <c r="F331" s="2">
        <v>115.44</v>
      </c>
      <c r="G331" t="s">
        <v>462</v>
      </c>
      <c r="H331" t="s">
        <v>14</v>
      </c>
      <c r="I331" t="s">
        <v>14</v>
      </c>
    </row>
    <row r="332" spans="1:9">
      <c r="A332" t="s">
        <v>493</v>
      </c>
      <c r="B332" t="s">
        <v>494</v>
      </c>
      <c r="C332" t="s">
        <v>217</v>
      </c>
      <c r="D332" s="1">
        <v>18.87</v>
      </c>
      <c r="E332" s="2">
        <v>6.3</v>
      </c>
      <c r="F332" s="2">
        <v>118.88</v>
      </c>
      <c r="G332" t="s">
        <v>495</v>
      </c>
      <c r="H332" t="s">
        <v>14</v>
      </c>
      <c r="I332" t="s">
        <v>14</v>
      </c>
    </row>
    <row r="333" spans="1:9">
      <c r="A333" t="s">
        <v>496</v>
      </c>
      <c r="B333" t="s">
        <v>494</v>
      </c>
      <c r="C333" t="s">
        <v>219</v>
      </c>
      <c r="D333" s="1">
        <v>18.9</v>
      </c>
      <c r="E333" s="2">
        <v>3.25</v>
      </c>
      <c r="F333" s="2">
        <v>61.42</v>
      </c>
      <c r="G333" t="s">
        <v>495</v>
      </c>
      <c r="H333" t="s">
        <v>14</v>
      </c>
      <c r="I333" t="s">
        <v>14</v>
      </c>
    </row>
    <row r="334" spans="1:9">
      <c r="A334" t="s">
        <v>497</v>
      </c>
      <c r="B334" t="s">
        <v>498</v>
      </c>
      <c r="C334" t="s">
        <v>217</v>
      </c>
      <c r="D334" s="1">
        <v>18.75</v>
      </c>
      <c r="E334" s="2">
        <v>6.3</v>
      </c>
      <c r="F334" s="2">
        <v>118.12</v>
      </c>
      <c r="G334" t="s">
        <v>499</v>
      </c>
      <c r="H334" t="s">
        <v>14</v>
      </c>
      <c r="I334" t="s">
        <v>14</v>
      </c>
    </row>
    <row r="335" spans="1:9">
      <c r="A335" t="s">
        <v>500</v>
      </c>
      <c r="B335" t="s">
        <v>498</v>
      </c>
      <c r="C335" t="s">
        <v>219</v>
      </c>
      <c r="D335" s="1">
        <v>18.76</v>
      </c>
      <c r="E335" s="2">
        <v>3.25</v>
      </c>
      <c r="F335" s="2">
        <v>60.97</v>
      </c>
      <c r="G335" t="s">
        <v>499</v>
      </c>
      <c r="H335" t="s">
        <v>14</v>
      </c>
      <c r="I335" t="s">
        <v>14</v>
      </c>
    </row>
    <row r="336" spans="1:9">
      <c r="A336" t="s">
        <v>501</v>
      </c>
      <c r="B336" t="s">
        <v>498</v>
      </c>
      <c r="C336" t="s">
        <v>217</v>
      </c>
      <c r="D336" s="1">
        <v>18.87</v>
      </c>
      <c r="E336" s="2">
        <v>6.3</v>
      </c>
      <c r="F336" s="2">
        <v>118.88</v>
      </c>
      <c r="G336" t="s">
        <v>499</v>
      </c>
      <c r="H336" t="s">
        <v>14</v>
      </c>
      <c r="I336" t="s">
        <v>14</v>
      </c>
    </row>
    <row r="337" spans="1:9">
      <c r="A337" t="s">
        <v>502</v>
      </c>
      <c r="B337" t="s">
        <v>498</v>
      </c>
      <c r="C337" t="s">
        <v>229</v>
      </c>
      <c r="D337" s="1">
        <v>18.88</v>
      </c>
      <c r="E337" s="2">
        <v>4.45</v>
      </c>
      <c r="F337" s="2">
        <v>84.02</v>
      </c>
      <c r="G337" t="s">
        <v>499</v>
      </c>
      <c r="H337" t="s">
        <v>14</v>
      </c>
      <c r="I337" t="s">
        <v>14</v>
      </c>
    </row>
    <row r="338" spans="1:9">
      <c r="A338" t="s">
        <v>503</v>
      </c>
      <c r="B338" t="s">
        <v>498</v>
      </c>
      <c r="C338" t="s">
        <v>398</v>
      </c>
      <c r="D338" s="1">
        <v>18.83</v>
      </c>
      <c r="E338" s="2">
        <v>6.1</v>
      </c>
      <c r="F338" s="2">
        <v>114.86</v>
      </c>
      <c r="G338" t="s">
        <v>499</v>
      </c>
      <c r="H338" t="s">
        <v>14</v>
      </c>
      <c r="I338" t="s">
        <v>14</v>
      </c>
    </row>
    <row r="339" spans="1:9">
      <c r="A339" t="s">
        <v>504</v>
      </c>
      <c r="B339" t="s">
        <v>498</v>
      </c>
      <c r="C339" t="s">
        <v>226</v>
      </c>
      <c r="D339" s="1">
        <v>18.86</v>
      </c>
      <c r="E339" s="2">
        <v>5.6</v>
      </c>
      <c r="F339" s="2">
        <v>105.62</v>
      </c>
      <c r="G339" t="s">
        <v>499</v>
      </c>
      <c r="H339" t="s">
        <v>14</v>
      </c>
      <c r="I339" t="s">
        <v>14</v>
      </c>
    </row>
    <row r="340" spans="1:9">
      <c r="A340" t="s">
        <v>505</v>
      </c>
      <c r="B340" t="s">
        <v>498</v>
      </c>
      <c r="C340" t="s">
        <v>384</v>
      </c>
      <c r="D340" s="1">
        <v>18.81</v>
      </c>
      <c r="E340" s="2">
        <v>5.35</v>
      </c>
      <c r="F340" s="2">
        <v>100.63</v>
      </c>
      <c r="G340" t="s">
        <v>499</v>
      </c>
      <c r="H340" t="s">
        <v>14</v>
      </c>
      <c r="I340" t="s">
        <v>14</v>
      </c>
    </row>
    <row r="341" spans="1:9">
      <c r="A341" t="s">
        <v>506</v>
      </c>
      <c r="B341" t="s">
        <v>498</v>
      </c>
      <c r="C341" t="s">
        <v>235</v>
      </c>
      <c r="D341" s="1">
        <v>18.8</v>
      </c>
      <c r="E341" s="2">
        <v>6.1</v>
      </c>
      <c r="F341" s="2">
        <v>114.68</v>
      </c>
      <c r="G341" t="s">
        <v>499</v>
      </c>
      <c r="H341" t="s">
        <v>14</v>
      </c>
      <c r="I341" t="s">
        <v>14</v>
      </c>
    </row>
    <row r="342" spans="1:9">
      <c r="A342" t="s">
        <v>507</v>
      </c>
      <c r="B342" t="s">
        <v>498</v>
      </c>
      <c r="C342" t="s">
        <v>288</v>
      </c>
      <c r="D342" s="1">
        <v>18.97</v>
      </c>
      <c r="E342" s="2">
        <v>6.1</v>
      </c>
      <c r="F342" s="2">
        <v>115.72</v>
      </c>
      <c r="G342" t="s">
        <v>499</v>
      </c>
      <c r="H342" t="s">
        <v>14</v>
      </c>
      <c r="I342" t="s">
        <v>14</v>
      </c>
    </row>
    <row r="343" spans="1:9">
      <c r="A343" t="s">
        <v>508</v>
      </c>
      <c r="B343" t="s">
        <v>498</v>
      </c>
      <c r="C343" t="s">
        <v>207</v>
      </c>
      <c r="D343" s="1">
        <v>18.89</v>
      </c>
      <c r="E343" s="2">
        <v>4.3</v>
      </c>
      <c r="F343" s="2">
        <v>81.23</v>
      </c>
      <c r="G343" t="s">
        <v>499</v>
      </c>
      <c r="H343" t="s">
        <v>14</v>
      </c>
      <c r="I343" t="s">
        <v>14</v>
      </c>
    </row>
    <row r="344" spans="1:9">
      <c r="A344" t="s">
        <v>509</v>
      </c>
      <c r="B344" t="s">
        <v>498</v>
      </c>
      <c r="C344" t="s">
        <v>248</v>
      </c>
      <c r="D344" s="1">
        <v>18.87</v>
      </c>
      <c r="E344" s="2">
        <v>5.85</v>
      </c>
      <c r="F344" s="2">
        <v>110.39</v>
      </c>
      <c r="G344" t="s">
        <v>499</v>
      </c>
      <c r="H344" t="s">
        <v>14</v>
      </c>
      <c r="I344" t="s">
        <v>14</v>
      </c>
    </row>
    <row r="345" spans="1:9">
      <c r="A345" t="s">
        <v>510</v>
      </c>
      <c r="B345" t="s">
        <v>498</v>
      </c>
      <c r="C345" t="s">
        <v>511</v>
      </c>
      <c r="D345" s="1">
        <v>18.91</v>
      </c>
      <c r="E345" s="2">
        <v>5.6</v>
      </c>
      <c r="F345" s="2">
        <v>105.9</v>
      </c>
      <c r="G345" t="s">
        <v>499</v>
      </c>
      <c r="H345" t="s">
        <v>14</v>
      </c>
      <c r="I345" t="s">
        <v>14</v>
      </c>
    </row>
    <row r="346" spans="1:9">
      <c r="A346" t="s">
        <v>512</v>
      </c>
      <c r="B346" t="s">
        <v>498</v>
      </c>
      <c r="C346" t="s">
        <v>288</v>
      </c>
      <c r="D346" s="1">
        <v>19</v>
      </c>
      <c r="E346" s="2">
        <v>6.1</v>
      </c>
      <c r="F346" s="2">
        <v>115.9</v>
      </c>
      <c r="G346" t="s">
        <v>499</v>
      </c>
      <c r="H346" t="s">
        <v>14</v>
      </c>
      <c r="I346" t="s">
        <v>14</v>
      </c>
    </row>
    <row r="347" spans="1:9">
      <c r="A347" t="s">
        <v>513</v>
      </c>
      <c r="B347" t="s">
        <v>498</v>
      </c>
      <c r="C347" t="s">
        <v>207</v>
      </c>
      <c r="D347" s="1">
        <v>19.05</v>
      </c>
      <c r="E347" s="2">
        <v>4.3</v>
      </c>
      <c r="F347" s="2">
        <v>81.92</v>
      </c>
      <c r="G347" t="s">
        <v>499</v>
      </c>
      <c r="H347" t="s">
        <v>14</v>
      </c>
      <c r="I347" t="s">
        <v>14</v>
      </c>
    </row>
    <row r="348" spans="1:9">
      <c r="A348" t="s">
        <v>514</v>
      </c>
      <c r="B348" t="s">
        <v>498</v>
      </c>
      <c r="C348" t="s">
        <v>515</v>
      </c>
      <c r="D348" s="1">
        <v>18.92</v>
      </c>
      <c r="E348" s="2">
        <v>6.1</v>
      </c>
      <c r="F348" s="2">
        <v>115.41</v>
      </c>
      <c r="G348" t="s">
        <v>499</v>
      </c>
      <c r="H348" t="s">
        <v>14</v>
      </c>
      <c r="I348" t="s">
        <v>14</v>
      </c>
    </row>
    <row r="349" spans="1:9">
      <c r="A349" t="s">
        <v>516</v>
      </c>
      <c r="B349" t="s">
        <v>498</v>
      </c>
      <c r="C349" t="s">
        <v>235</v>
      </c>
      <c r="D349" s="1">
        <v>19.04</v>
      </c>
      <c r="E349" s="2">
        <v>6.1</v>
      </c>
      <c r="F349" s="2">
        <v>116.14</v>
      </c>
      <c r="G349" t="s">
        <v>499</v>
      </c>
      <c r="H349" t="s">
        <v>14</v>
      </c>
      <c r="I349" t="s">
        <v>14</v>
      </c>
    </row>
    <row r="350" spans="1:9">
      <c r="A350" t="s">
        <v>517</v>
      </c>
      <c r="B350" t="s">
        <v>498</v>
      </c>
      <c r="C350" t="s">
        <v>518</v>
      </c>
      <c r="D350" s="1">
        <v>18.93</v>
      </c>
      <c r="E350" s="2">
        <v>4.3</v>
      </c>
      <c r="F350" s="2">
        <v>81.4</v>
      </c>
      <c r="G350" t="s">
        <v>499</v>
      </c>
      <c r="H350" t="s">
        <v>14</v>
      </c>
      <c r="I350" t="s">
        <v>14</v>
      </c>
    </row>
    <row r="351" spans="1:9">
      <c r="A351" t="s">
        <v>519</v>
      </c>
      <c r="B351" t="s">
        <v>498</v>
      </c>
      <c r="C351" t="s">
        <v>384</v>
      </c>
      <c r="D351" s="1">
        <v>18.94</v>
      </c>
      <c r="E351" s="2">
        <v>5.35</v>
      </c>
      <c r="F351" s="2">
        <v>101.33</v>
      </c>
      <c r="G351" t="s">
        <v>499</v>
      </c>
      <c r="H351" t="s">
        <v>14</v>
      </c>
      <c r="I351" t="s">
        <v>14</v>
      </c>
    </row>
    <row r="352" spans="1:9">
      <c r="A352" t="s">
        <v>520</v>
      </c>
      <c r="B352" t="s">
        <v>498</v>
      </c>
      <c r="C352" t="s">
        <v>521</v>
      </c>
      <c r="D352" s="1">
        <v>19.01</v>
      </c>
      <c r="E352" s="2">
        <v>5.6</v>
      </c>
      <c r="F352" s="2">
        <v>106.46</v>
      </c>
      <c r="G352" t="s">
        <v>499</v>
      </c>
      <c r="H352" t="s">
        <v>14</v>
      </c>
      <c r="I352" t="s">
        <v>14</v>
      </c>
    </row>
    <row r="353" spans="1:9">
      <c r="A353" t="s">
        <v>522</v>
      </c>
      <c r="B353" t="s">
        <v>498</v>
      </c>
      <c r="C353" t="s">
        <v>224</v>
      </c>
      <c r="D353" s="1">
        <v>18.95</v>
      </c>
      <c r="E353" s="2">
        <v>4.45</v>
      </c>
      <c r="F353" s="2">
        <v>84.33</v>
      </c>
      <c r="G353" t="s">
        <v>499</v>
      </c>
      <c r="H353" t="s">
        <v>14</v>
      </c>
      <c r="I353" t="s">
        <v>14</v>
      </c>
    </row>
    <row r="354" spans="1:9">
      <c r="A354" t="s">
        <v>523</v>
      </c>
      <c r="B354" t="s">
        <v>524</v>
      </c>
      <c r="C354" t="s">
        <v>20</v>
      </c>
      <c r="D354" s="1">
        <v>15.86</v>
      </c>
      <c r="E354" s="2">
        <v>5.35</v>
      </c>
      <c r="F354" s="2">
        <v>84.85</v>
      </c>
      <c r="G354" t="s">
        <v>525</v>
      </c>
      <c r="H354" t="s">
        <v>14</v>
      </c>
      <c r="I354" t="s">
        <v>14</v>
      </c>
    </row>
    <row r="355" spans="1:9">
      <c r="A355" t="s">
        <v>526</v>
      </c>
      <c r="B355" t="s">
        <v>524</v>
      </c>
      <c r="C355" t="s">
        <v>527</v>
      </c>
      <c r="D355" s="1">
        <v>15.88</v>
      </c>
      <c r="E355" s="2">
        <v>8.45</v>
      </c>
      <c r="F355" s="2">
        <v>134.19</v>
      </c>
      <c r="G355" t="s">
        <v>525</v>
      </c>
      <c r="H355" t="s">
        <v>14</v>
      </c>
      <c r="I355" t="s">
        <v>14</v>
      </c>
    </row>
    <row r="356" spans="1:9">
      <c r="A356" t="s">
        <v>528</v>
      </c>
      <c r="B356" t="s">
        <v>524</v>
      </c>
      <c r="C356" t="s">
        <v>64</v>
      </c>
      <c r="D356" s="1">
        <v>15.93</v>
      </c>
      <c r="E356" s="2">
        <v>12.9</v>
      </c>
      <c r="F356" s="2">
        <v>205.5</v>
      </c>
      <c r="G356" t="s">
        <v>525</v>
      </c>
      <c r="H356" t="s">
        <v>14</v>
      </c>
      <c r="I356" t="s">
        <v>14</v>
      </c>
    </row>
    <row r="357" spans="1:9">
      <c r="A357" t="s">
        <v>529</v>
      </c>
      <c r="B357" t="s">
        <v>524</v>
      </c>
      <c r="C357" t="s">
        <v>34</v>
      </c>
      <c r="D357" s="1">
        <v>16.02</v>
      </c>
      <c r="E357" s="2">
        <v>4.85</v>
      </c>
      <c r="F357" s="2">
        <v>77.7</v>
      </c>
      <c r="G357" t="s">
        <v>525</v>
      </c>
      <c r="H357" t="s">
        <v>14</v>
      </c>
      <c r="I357" t="s">
        <v>14</v>
      </c>
    </row>
    <row r="358" spans="1:9">
      <c r="A358" t="s">
        <v>530</v>
      </c>
      <c r="B358" t="s">
        <v>524</v>
      </c>
      <c r="C358" t="s">
        <v>20</v>
      </c>
      <c r="D358" s="1">
        <v>16.04</v>
      </c>
      <c r="E358" s="2">
        <v>5.35</v>
      </c>
      <c r="F358" s="2">
        <v>85.81</v>
      </c>
      <c r="G358" t="s">
        <v>525</v>
      </c>
      <c r="H358" t="s">
        <v>14</v>
      </c>
      <c r="I358" t="s">
        <v>14</v>
      </c>
    </row>
    <row r="359" spans="1:9">
      <c r="A359" t="s">
        <v>531</v>
      </c>
      <c r="B359" t="s">
        <v>524</v>
      </c>
      <c r="C359" t="s">
        <v>59</v>
      </c>
      <c r="D359" s="1">
        <v>15.95</v>
      </c>
      <c r="E359" s="2">
        <v>5.05</v>
      </c>
      <c r="F359" s="2">
        <v>80.55</v>
      </c>
      <c r="G359" t="s">
        <v>525</v>
      </c>
      <c r="H359" t="s">
        <v>14</v>
      </c>
      <c r="I359" t="s">
        <v>14</v>
      </c>
    </row>
    <row r="360" spans="1:9">
      <c r="A360" t="s">
        <v>532</v>
      </c>
      <c r="B360" t="s">
        <v>524</v>
      </c>
      <c r="C360" t="s">
        <v>22</v>
      </c>
      <c r="D360" s="1">
        <v>15.9</v>
      </c>
      <c r="E360" s="2">
        <v>4.1</v>
      </c>
      <c r="F360" s="2">
        <v>65.19</v>
      </c>
      <c r="G360" t="s">
        <v>525</v>
      </c>
      <c r="H360" t="s">
        <v>14</v>
      </c>
      <c r="I360" t="s">
        <v>14</v>
      </c>
    </row>
    <row r="361" spans="1:9">
      <c r="A361" t="s">
        <v>533</v>
      </c>
      <c r="B361" t="s">
        <v>524</v>
      </c>
      <c r="C361" t="s">
        <v>534</v>
      </c>
      <c r="D361" s="1">
        <v>15.57</v>
      </c>
      <c r="E361" s="2">
        <v>6.8</v>
      </c>
      <c r="F361" s="2">
        <v>105.88</v>
      </c>
      <c r="G361" t="s">
        <v>525</v>
      </c>
      <c r="H361" t="s">
        <v>14</v>
      </c>
      <c r="I361" t="s">
        <v>14</v>
      </c>
    </row>
    <row r="362" spans="1:9">
      <c r="A362" t="s">
        <v>535</v>
      </c>
      <c r="B362" t="s">
        <v>524</v>
      </c>
      <c r="C362" t="s">
        <v>536</v>
      </c>
      <c r="D362" s="1">
        <v>15.95</v>
      </c>
      <c r="E362" s="2">
        <v>5.05</v>
      </c>
      <c r="F362" s="2">
        <v>80.55</v>
      </c>
      <c r="G362" t="s">
        <v>525</v>
      </c>
      <c r="H362" t="s">
        <v>14</v>
      </c>
      <c r="I362" t="s">
        <v>14</v>
      </c>
    </row>
    <row r="363" spans="1:9">
      <c r="A363" t="s">
        <v>537</v>
      </c>
      <c r="B363" t="s">
        <v>524</v>
      </c>
      <c r="C363" t="s">
        <v>18</v>
      </c>
      <c r="D363" s="1">
        <v>15.91</v>
      </c>
      <c r="E363" s="2">
        <v>5.85</v>
      </c>
      <c r="F363" s="2">
        <v>93.07</v>
      </c>
      <c r="G363" t="s">
        <v>525</v>
      </c>
      <c r="H363" t="s">
        <v>14</v>
      </c>
      <c r="I363" t="s">
        <v>14</v>
      </c>
    </row>
    <row r="364" spans="1:9">
      <c r="A364" t="s">
        <v>538</v>
      </c>
      <c r="B364" t="s">
        <v>524</v>
      </c>
      <c r="C364" t="s">
        <v>29</v>
      </c>
      <c r="D364" s="1">
        <v>15.83</v>
      </c>
      <c r="E364" s="2">
        <v>4.45</v>
      </c>
      <c r="F364" s="2">
        <v>70.44</v>
      </c>
      <c r="G364" t="s">
        <v>525</v>
      </c>
      <c r="H364" t="s">
        <v>14</v>
      </c>
      <c r="I364" t="s">
        <v>14</v>
      </c>
    </row>
    <row r="365" spans="1:9">
      <c r="A365" t="s">
        <v>539</v>
      </c>
      <c r="B365" t="s">
        <v>524</v>
      </c>
      <c r="C365" t="s">
        <v>25</v>
      </c>
      <c r="D365" s="1">
        <v>15.98</v>
      </c>
      <c r="E365" s="2">
        <v>5.85</v>
      </c>
      <c r="F365" s="2">
        <v>93.48</v>
      </c>
      <c r="G365" t="s">
        <v>525</v>
      </c>
      <c r="H365" t="s">
        <v>14</v>
      </c>
      <c r="I365" t="s">
        <v>14</v>
      </c>
    </row>
    <row r="366" spans="1:9">
      <c r="A366" t="s">
        <v>540</v>
      </c>
      <c r="B366" t="s">
        <v>524</v>
      </c>
      <c r="C366" t="s">
        <v>64</v>
      </c>
      <c r="D366" s="1">
        <v>15.91</v>
      </c>
      <c r="E366" s="2">
        <v>12.9</v>
      </c>
      <c r="F366" s="2">
        <v>205.24</v>
      </c>
      <c r="G366" t="s">
        <v>525</v>
      </c>
      <c r="H366" t="s">
        <v>14</v>
      </c>
      <c r="I366" t="s">
        <v>14</v>
      </c>
    </row>
    <row r="367" spans="1:9">
      <c r="A367" t="s">
        <v>541</v>
      </c>
      <c r="B367" t="s">
        <v>524</v>
      </c>
      <c r="C367" t="s">
        <v>29</v>
      </c>
      <c r="D367" s="1">
        <v>15.65</v>
      </c>
      <c r="E367" s="2">
        <v>4.45</v>
      </c>
      <c r="F367" s="2">
        <v>69.64</v>
      </c>
      <c r="G367" t="s">
        <v>525</v>
      </c>
      <c r="H367" t="s">
        <v>14</v>
      </c>
      <c r="I367" t="s">
        <v>14</v>
      </c>
    </row>
    <row r="368" spans="1:9">
      <c r="A368" t="s">
        <v>542</v>
      </c>
      <c r="B368" t="s">
        <v>524</v>
      </c>
      <c r="C368" t="s">
        <v>22</v>
      </c>
      <c r="D368" s="1">
        <v>15.88</v>
      </c>
      <c r="E368" s="2">
        <v>4.1</v>
      </c>
      <c r="F368" s="2">
        <v>65.11</v>
      </c>
      <c r="G368" t="s">
        <v>525</v>
      </c>
      <c r="H368" t="s">
        <v>14</v>
      </c>
      <c r="I368" t="s">
        <v>14</v>
      </c>
    </row>
    <row r="369" spans="1:9">
      <c r="A369" t="s">
        <v>543</v>
      </c>
      <c r="B369" t="s">
        <v>524</v>
      </c>
      <c r="C369" t="s">
        <v>12</v>
      </c>
      <c r="D369" s="1">
        <v>15.8</v>
      </c>
      <c r="E369" s="2">
        <v>4.1</v>
      </c>
      <c r="F369" s="2">
        <v>64.78</v>
      </c>
      <c r="G369" t="s">
        <v>525</v>
      </c>
      <c r="H369" t="s">
        <v>14</v>
      </c>
      <c r="I369" t="s">
        <v>14</v>
      </c>
    </row>
    <row r="370" spans="1:9">
      <c r="A370" t="s">
        <v>544</v>
      </c>
      <c r="B370" t="s">
        <v>524</v>
      </c>
      <c r="C370" t="s">
        <v>545</v>
      </c>
      <c r="D370" s="1">
        <v>15.71</v>
      </c>
      <c r="E370" s="2">
        <v>4.85</v>
      </c>
      <c r="F370" s="2">
        <v>76.19</v>
      </c>
      <c r="G370" t="s">
        <v>525</v>
      </c>
      <c r="H370" t="s">
        <v>14</v>
      </c>
      <c r="I370" t="s">
        <v>14</v>
      </c>
    </row>
    <row r="371" spans="1:9">
      <c r="A371" t="s">
        <v>546</v>
      </c>
      <c r="B371" t="s">
        <v>524</v>
      </c>
      <c r="C371" t="s">
        <v>12</v>
      </c>
      <c r="D371" s="1">
        <v>15.89</v>
      </c>
      <c r="E371" s="2">
        <v>4.1</v>
      </c>
      <c r="F371" s="2">
        <v>65.15</v>
      </c>
      <c r="G371" t="s">
        <v>525</v>
      </c>
      <c r="H371" t="s">
        <v>14</v>
      </c>
      <c r="I371" t="s">
        <v>14</v>
      </c>
    </row>
    <row r="372" spans="1:9">
      <c r="A372" t="s">
        <v>547</v>
      </c>
      <c r="B372" t="s">
        <v>524</v>
      </c>
      <c r="C372" t="s">
        <v>20</v>
      </c>
      <c r="D372" s="1">
        <v>15.89</v>
      </c>
      <c r="E372" s="2">
        <v>5.35</v>
      </c>
      <c r="F372" s="2">
        <v>85.01</v>
      </c>
      <c r="G372" t="s">
        <v>525</v>
      </c>
      <c r="H372" t="s">
        <v>14</v>
      </c>
      <c r="I372" t="s">
        <v>14</v>
      </c>
    </row>
    <row r="373" spans="1:9">
      <c r="A373" t="s">
        <v>548</v>
      </c>
      <c r="B373" t="s">
        <v>524</v>
      </c>
      <c r="C373" t="s">
        <v>545</v>
      </c>
      <c r="D373" s="1">
        <v>15.9</v>
      </c>
      <c r="E373" s="2">
        <v>4.85</v>
      </c>
      <c r="F373" s="2">
        <v>77.11</v>
      </c>
      <c r="G373" t="s">
        <v>525</v>
      </c>
      <c r="H373" t="s">
        <v>14</v>
      </c>
      <c r="I373" t="s">
        <v>14</v>
      </c>
    </row>
    <row r="374" spans="1:9">
      <c r="A374" t="s">
        <v>549</v>
      </c>
      <c r="B374" t="s">
        <v>524</v>
      </c>
      <c r="C374" t="s">
        <v>550</v>
      </c>
      <c r="D374" s="1">
        <v>15.82</v>
      </c>
      <c r="E374" s="2">
        <v>5.35</v>
      </c>
      <c r="F374" s="2">
        <v>84.64</v>
      </c>
      <c r="G374" t="s">
        <v>525</v>
      </c>
      <c r="H374" t="s">
        <v>14</v>
      </c>
      <c r="I374" t="s">
        <v>14</v>
      </c>
    </row>
    <row r="375" spans="1:9">
      <c r="A375" t="s">
        <v>551</v>
      </c>
      <c r="B375" t="s">
        <v>524</v>
      </c>
      <c r="C375" t="s">
        <v>64</v>
      </c>
      <c r="D375" s="1">
        <v>15.85</v>
      </c>
      <c r="E375" s="2">
        <v>12.9</v>
      </c>
      <c r="F375" s="2">
        <v>204.46</v>
      </c>
      <c r="G375" t="s">
        <v>525</v>
      </c>
      <c r="H375" t="s">
        <v>14</v>
      </c>
      <c r="I375" t="s">
        <v>14</v>
      </c>
    </row>
    <row r="376" spans="1:9">
      <c r="A376" t="s">
        <v>552</v>
      </c>
      <c r="B376" t="s">
        <v>524</v>
      </c>
      <c r="C376" t="s">
        <v>50</v>
      </c>
      <c r="D376" s="1">
        <v>15.87</v>
      </c>
      <c r="E376" s="2">
        <v>6.1</v>
      </c>
      <c r="F376" s="2">
        <v>96.81</v>
      </c>
      <c r="G376" t="s">
        <v>525</v>
      </c>
      <c r="H376" t="s">
        <v>14</v>
      </c>
      <c r="I376" t="s">
        <v>14</v>
      </c>
    </row>
    <row r="377" spans="1:9">
      <c r="A377" t="s">
        <v>553</v>
      </c>
      <c r="B377" t="s">
        <v>524</v>
      </c>
      <c r="C377" t="s">
        <v>16</v>
      </c>
      <c r="D377" s="1">
        <v>15.91</v>
      </c>
      <c r="E377" s="2">
        <v>4.45</v>
      </c>
      <c r="F377" s="2">
        <v>70.8</v>
      </c>
      <c r="G377" t="s">
        <v>525</v>
      </c>
      <c r="H377" t="s">
        <v>14</v>
      </c>
      <c r="I377" t="s">
        <v>14</v>
      </c>
    </row>
    <row r="378" spans="1:9">
      <c r="A378" t="s">
        <v>554</v>
      </c>
      <c r="B378" t="s">
        <v>524</v>
      </c>
      <c r="C378" t="s">
        <v>25</v>
      </c>
      <c r="D378" s="1">
        <v>15.97</v>
      </c>
      <c r="E378" s="2">
        <v>5.85</v>
      </c>
      <c r="F378" s="2">
        <v>93.42</v>
      </c>
      <c r="G378" t="s">
        <v>525</v>
      </c>
      <c r="H378" t="s">
        <v>14</v>
      </c>
      <c r="I378" t="s">
        <v>14</v>
      </c>
    </row>
    <row r="379" spans="1:9">
      <c r="A379" t="s">
        <v>555</v>
      </c>
      <c r="B379" t="s">
        <v>524</v>
      </c>
      <c r="C379" t="s">
        <v>16</v>
      </c>
      <c r="D379" s="1">
        <v>15.92</v>
      </c>
      <c r="E379" s="2">
        <v>4.45</v>
      </c>
      <c r="F379" s="2">
        <v>70.84</v>
      </c>
      <c r="G379" t="s">
        <v>525</v>
      </c>
      <c r="H379" t="s">
        <v>14</v>
      </c>
      <c r="I379" t="s">
        <v>14</v>
      </c>
    </row>
    <row r="380" spans="1:9">
      <c r="A380" t="s">
        <v>556</v>
      </c>
      <c r="B380" t="s">
        <v>524</v>
      </c>
      <c r="C380" t="s">
        <v>25</v>
      </c>
      <c r="D380" s="1">
        <v>15.92</v>
      </c>
      <c r="E380" s="2">
        <v>5.85</v>
      </c>
      <c r="F380" s="2">
        <v>93.13</v>
      </c>
      <c r="G380" t="s">
        <v>525</v>
      </c>
      <c r="H380" t="s">
        <v>14</v>
      </c>
      <c r="I380" t="s">
        <v>14</v>
      </c>
    </row>
    <row r="381" spans="1:9">
      <c r="A381" t="s">
        <v>557</v>
      </c>
      <c r="B381" t="s">
        <v>524</v>
      </c>
      <c r="C381" t="s">
        <v>44</v>
      </c>
      <c r="D381" s="1">
        <v>15.99</v>
      </c>
      <c r="E381" s="2">
        <v>11.4</v>
      </c>
      <c r="F381" s="2">
        <v>182.29</v>
      </c>
      <c r="G381" t="s">
        <v>525</v>
      </c>
      <c r="H381" t="s">
        <v>14</v>
      </c>
      <c r="I381" t="s">
        <v>14</v>
      </c>
    </row>
    <row r="382" spans="1:9">
      <c r="A382" t="s">
        <v>558</v>
      </c>
      <c r="B382" t="s">
        <v>524</v>
      </c>
      <c r="C382" t="s">
        <v>39</v>
      </c>
      <c r="D382" s="1">
        <v>15.89</v>
      </c>
      <c r="E382" s="2">
        <v>6.1</v>
      </c>
      <c r="F382" s="2">
        <v>96.93</v>
      </c>
      <c r="G382" t="s">
        <v>525</v>
      </c>
      <c r="H382" t="s">
        <v>14</v>
      </c>
      <c r="I382" t="s">
        <v>14</v>
      </c>
    </row>
    <row r="383" spans="1:9">
      <c r="A383" t="s">
        <v>559</v>
      </c>
      <c r="B383" t="s">
        <v>524</v>
      </c>
      <c r="C383" t="s">
        <v>29</v>
      </c>
      <c r="D383" s="1">
        <v>16</v>
      </c>
      <c r="E383" s="2">
        <v>4.45</v>
      </c>
      <c r="F383" s="2">
        <v>71.2</v>
      </c>
      <c r="G383" t="s">
        <v>525</v>
      </c>
      <c r="H383" t="s">
        <v>14</v>
      </c>
      <c r="I383" t="s">
        <v>14</v>
      </c>
    </row>
    <row r="384" spans="1:9">
      <c r="A384" t="s">
        <v>560</v>
      </c>
      <c r="B384" t="s">
        <v>524</v>
      </c>
      <c r="C384" t="s">
        <v>561</v>
      </c>
      <c r="D384" s="1">
        <v>15.85</v>
      </c>
      <c r="E384" s="2">
        <v>6.6</v>
      </c>
      <c r="F384" s="2">
        <v>104.61</v>
      </c>
      <c r="G384" t="s">
        <v>525</v>
      </c>
      <c r="H384" t="s">
        <v>14</v>
      </c>
      <c r="I384" t="s">
        <v>14</v>
      </c>
    </row>
    <row r="385" spans="1:9">
      <c r="A385" t="s">
        <v>562</v>
      </c>
      <c r="B385" t="s">
        <v>524</v>
      </c>
      <c r="C385" t="s">
        <v>16</v>
      </c>
      <c r="D385" s="1">
        <v>15.9</v>
      </c>
      <c r="E385" s="2">
        <v>4.45</v>
      </c>
      <c r="F385" s="2">
        <v>70.76</v>
      </c>
      <c r="G385" t="s">
        <v>525</v>
      </c>
      <c r="H385" t="s">
        <v>14</v>
      </c>
      <c r="I385" t="s">
        <v>14</v>
      </c>
    </row>
    <row r="386" spans="1:9">
      <c r="A386" t="s">
        <v>563</v>
      </c>
      <c r="B386" t="s">
        <v>524</v>
      </c>
      <c r="C386" t="s">
        <v>16</v>
      </c>
      <c r="D386" s="1">
        <v>15.92</v>
      </c>
      <c r="E386" s="2">
        <v>4.45</v>
      </c>
      <c r="F386" s="2">
        <v>70.84</v>
      </c>
      <c r="G386" t="s">
        <v>525</v>
      </c>
      <c r="H386" t="s">
        <v>14</v>
      </c>
      <c r="I386" t="s">
        <v>14</v>
      </c>
    </row>
    <row r="387" spans="1:9">
      <c r="A387" t="s">
        <v>564</v>
      </c>
      <c r="B387" t="s">
        <v>565</v>
      </c>
      <c r="C387" t="s">
        <v>25</v>
      </c>
      <c r="D387" s="1">
        <v>18.77</v>
      </c>
      <c r="E387" s="2">
        <v>5.85</v>
      </c>
      <c r="F387" s="2">
        <v>109.8</v>
      </c>
      <c r="G387" t="s">
        <v>566</v>
      </c>
      <c r="H387" t="s">
        <v>14</v>
      </c>
      <c r="I387" t="s">
        <v>14</v>
      </c>
    </row>
    <row r="388" spans="1:9">
      <c r="A388" t="s">
        <v>567</v>
      </c>
      <c r="B388" t="s">
        <v>565</v>
      </c>
      <c r="C388" t="s">
        <v>12</v>
      </c>
      <c r="D388" s="1">
        <v>19.02</v>
      </c>
      <c r="E388" s="2">
        <v>4.1</v>
      </c>
      <c r="F388" s="2">
        <v>77.98</v>
      </c>
      <c r="G388" t="s">
        <v>566</v>
      </c>
      <c r="H388" t="s">
        <v>14</v>
      </c>
      <c r="I388" t="s">
        <v>14</v>
      </c>
    </row>
    <row r="389" spans="1:9">
      <c r="A389" t="s">
        <v>568</v>
      </c>
      <c r="B389" t="s">
        <v>565</v>
      </c>
      <c r="C389" t="s">
        <v>34</v>
      </c>
      <c r="D389" s="1">
        <v>18.96</v>
      </c>
      <c r="E389" s="2">
        <v>4.85</v>
      </c>
      <c r="F389" s="2">
        <v>91.96</v>
      </c>
      <c r="G389" t="s">
        <v>566</v>
      </c>
      <c r="H389" t="s">
        <v>14</v>
      </c>
      <c r="I389" t="s">
        <v>14</v>
      </c>
    </row>
    <row r="390" spans="1:9">
      <c r="A390" t="s">
        <v>569</v>
      </c>
      <c r="B390" t="s">
        <v>570</v>
      </c>
      <c r="C390" t="s">
        <v>571</v>
      </c>
      <c r="D390" s="1">
        <v>18.27</v>
      </c>
      <c r="E390" s="2">
        <v>3.4</v>
      </c>
      <c r="F390" s="2">
        <v>62.12</v>
      </c>
      <c r="G390" t="s">
        <v>572</v>
      </c>
      <c r="H390" t="s">
        <v>14</v>
      </c>
      <c r="I390" t="s">
        <v>14</v>
      </c>
    </row>
    <row r="391" spans="1:9">
      <c r="A391" t="s">
        <v>573</v>
      </c>
      <c r="B391" t="s">
        <v>570</v>
      </c>
      <c r="C391" t="s">
        <v>574</v>
      </c>
      <c r="D391" s="1">
        <v>18.21</v>
      </c>
      <c r="E391" s="2">
        <v>7.4</v>
      </c>
      <c r="F391" s="2">
        <v>134.75</v>
      </c>
      <c r="G391" t="s">
        <v>572</v>
      </c>
      <c r="H391" t="s">
        <v>14</v>
      </c>
      <c r="I391" t="s">
        <v>14</v>
      </c>
    </row>
    <row r="392" spans="1:9">
      <c r="A392" t="s">
        <v>575</v>
      </c>
      <c r="B392" t="s">
        <v>570</v>
      </c>
      <c r="C392" t="s">
        <v>576</v>
      </c>
      <c r="D392" s="1">
        <v>18.19</v>
      </c>
      <c r="E392" s="2">
        <v>3.6</v>
      </c>
      <c r="F392" s="2">
        <v>65.48</v>
      </c>
      <c r="G392" t="s">
        <v>572</v>
      </c>
      <c r="H392" t="s">
        <v>14</v>
      </c>
      <c r="I392" t="s">
        <v>14</v>
      </c>
    </row>
    <row r="393" spans="1:9">
      <c r="A393" t="s">
        <v>577</v>
      </c>
      <c r="B393" t="s">
        <v>570</v>
      </c>
      <c r="C393" t="s">
        <v>571</v>
      </c>
      <c r="D393" s="1">
        <v>18.29</v>
      </c>
      <c r="E393" s="2">
        <v>3.4</v>
      </c>
      <c r="F393" s="2">
        <v>62.19</v>
      </c>
      <c r="G393" t="s">
        <v>572</v>
      </c>
      <c r="H393" t="s">
        <v>14</v>
      </c>
      <c r="I393" t="s">
        <v>14</v>
      </c>
    </row>
    <row r="394" spans="1:9">
      <c r="A394" t="s">
        <v>578</v>
      </c>
      <c r="B394" t="s">
        <v>570</v>
      </c>
      <c r="C394" t="s">
        <v>579</v>
      </c>
      <c r="D394" s="1">
        <v>18.3</v>
      </c>
      <c r="E394" s="2">
        <v>9.4</v>
      </c>
      <c r="F394" s="2">
        <v>172.02</v>
      </c>
      <c r="G394" t="s">
        <v>572</v>
      </c>
      <c r="H394" t="s">
        <v>14</v>
      </c>
      <c r="I394" t="s">
        <v>14</v>
      </c>
    </row>
    <row r="395" spans="1:9">
      <c r="A395" t="s">
        <v>580</v>
      </c>
      <c r="B395" t="s">
        <v>570</v>
      </c>
      <c r="C395" t="s">
        <v>581</v>
      </c>
      <c r="D395" s="1">
        <v>18.23</v>
      </c>
      <c r="E395" s="2">
        <v>5.05</v>
      </c>
      <c r="F395" s="2">
        <v>92.06</v>
      </c>
      <c r="G395" t="s">
        <v>572</v>
      </c>
      <c r="H395" t="s">
        <v>14</v>
      </c>
      <c r="I395" t="s">
        <v>14</v>
      </c>
    </row>
    <row r="396" spans="1:9">
      <c r="A396" t="s">
        <v>582</v>
      </c>
      <c r="B396" t="s">
        <v>570</v>
      </c>
      <c r="C396" t="s">
        <v>583</v>
      </c>
      <c r="D396" s="1">
        <v>18.17</v>
      </c>
      <c r="E396" s="2">
        <v>4.1</v>
      </c>
      <c r="F396" s="2">
        <v>74.5</v>
      </c>
      <c r="G396" t="s">
        <v>572</v>
      </c>
      <c r="H396" t="s">
        <v>14</v>
      </c>
      <c r="I396" t="s">
        <v>14</v>
      </c>
    </row>
    <row r="397" spans="1:9">
      <c r="A397" t="s">
        <v>584</v>
      </c>
      <c r="B397" t="s">
        <v>570</v>
      </c>
      <c r="C397" t="s">
        <v>585</v>
      </c>
      <c r="D397" s="1">
        <v>18.21</v>
      </c>
      <c r="E397" s="2">
        <v>6.1</v>
      </c>
      <c r="F397" s="2">
        <v>111.08</v>
      </c>
      <c r="G397" t="s">
        <v>572</v>
      </c>
      <c r="H397" t="s">
        <v>14</v>
      </c>
      <c r="I397" t="s">
        <v>14</v>
      </c>
    </row>
    <row r="398" spans="1:9">
      <c r="A398" t="s">
        <v>586</v>
      </c>
      <c r="B398" t="s">
        <v>570</v>
      </c>
      <c r="C398" t="s">
        <v>71</v>
      </c>
      <c r="D398" s="1">
        <v>16.7</v>
      </c>
      <c r="E398" s="2">
        <v>5.85</v>
      </c>
      <c r="F398" s="2">
        <v>97.7</v>
      </c>
      <c r="G398" t="s">
        <v>572</v>
      </c>
      <c r="H398" t="s">
        <v>14</v>
      </c>
      <c r="I398" t="s">
        <v>14</v>
      </c>
    </row>
    <row r="399" spans="1:9">
      <c r="A399" t="s">
        <v>587</v>
      </c>
      <c r="B399" t="s">
        <v>570</v>
      </c>
      <c r="C399" t="s">
        <v>579</v>
      </c>
      <c r="D399" s="1">
        <v>18.21</v>
      </c>
      <c r="E399" s="2">
        <v>9.4</v>
      </c>
      <c r="F399" s="2">
        <v>171.17</v>
      </c>
      <c r="G399" t="s">
        <v>572</v>
      </c>
      <c r="H399" t="s">
        <v>14</v>
      </c>
      <c r="I399" t="s">
        <v>14</v>
      </c>
    </row>
    <row r="400" spans="1:9">
      <c r="A400" t="s">
        <v>588</v>
      </c>
      <c r="B400" t="s">
        <v>570</v>
      </c>
      <c r="C400" t="s">
        <v>73</v>
      </c>
      <c r="D400" s="1">
        <v>1</v>
      </c>
      <c r="E400" s="2">
        <v>99.37</v>
      </c>
      <c r="F400" s="2">
        <v>99.37</v>
      </c>
      <c r="G400" t="s">
        <v>572</v>
      </c>
      <c r="H400" t="s">
        <v>14</v>
      </c>
      <c r="I400" t="s">
        <v>14</v>
      </c>
    </row>
    <row r="401" spans="1:9">
      <c r="A401" t="s">
        <v>589</v>
      </c>
      <c r="B401" t="s">
        <v>570</v>
      </c>
      <c r="C401" t="s">
        <v>590</v>
      </c>
      <c r="D401" s="1">
        <v>18.16</v>
      </c>
      <c r="E401" s="2">
        <v>4.3</v>
      </c>
      <c r="F401" s="2">
        <v>78.09</v>
      </c>
      <c r="G401" t="s">
        <v>572</v>
      </c>
      <c r="H401" t="s">
        <v>14</v>
      </c>
      <c r="I401" t="s">
        <v>14</v>
      </c>
    </row>
    <row r="402" spans="1:9">
      <c r="A402" t="s">
        <v>591</v>
      </c>
      <c r="B402" t="s">
        <v>570</v>
      </c>
      <c r="C402" t="s">
        <v>592</v>
      </c>
      <c r="D402" s="1">
        <v>18.31</v>
      </c>
      <c r="E402" s="2">
        <v>4.45</v>
      </c>
      <c r="F402" s="2">
        <v>81.48</v>
      </c>
      <c r="G402" t="s">
        <v>572</v>
      </c>
      <c r="H402" t="s">
        <v>14</v>
      </c>
      <c r="I402" t="s">
        <v>14</v>
      </c>
    </row>
    <row r="403" spans="1:9">
      <c r="A403" t="s">
        <v>593</v>
      </c>
      <c r="B403" t="s">
        <v>570</v>
      </c>
      <c r="C403" t="s">
        <v>75</v>
      </c>
      <c r="D403" s="1">
        <v>18.22</v>
      </c>
      <c r="E403" s="2">
        <v>5.85</v>
      </c>
      <c r="F403" s="2">
        <v>106.59</v>
      </c>
      <c r="G403" t="s">
        <v>572</v>
      </c>
      <c r="H403" t="s">
        <v>14</v>
      </c>
      <c r="I403" t="s">
        <v>14</v>
      </c>
    </row>
    <row r="404" spans="1:9">
      <c r="A404" t="s">
        <v>594</v>
      </c>
      <c r="B404" t="s">
        <v>570</v>
      </c>
      <c r="C404" t="s">
        <v>77</v>
      </c>
      <c r="D404" s="1">
        <v>18.27</v>
      </c>
      <c r="E404" s="2">
        <v>3.6</v>
      </c>
      <c r="F404" s="2">
        <v>65.77</v>
      </c>
      <c r="G404" t="s">
        <v>572</v>
      </c>
      <c r="H404" t="s">
        <v>14</v>
      </c>
      <c r="I404" t="s">
        <v>14</v>
      </c>
    </row>
    <row r="405" spans="1:9">
      <c r="A405" t="s">
        <v>595</v>
      </c>
      <c r="B405" t="s">
        <v>570</v>
      </c>
      <c r="C405" t="s">
        <v>86</v>
      </c>
      <c r="D405" s="1">
        <v>18.25</v>
      </c>
      <c r="E405" s="2">
        <v>5.85</v>
      </c>
      <c r="F405" s="2">
        <v>106.76</v>
      </c>
      <c r="G405" t="s">
        <v>572</v>
      </c>
      <c r="H405" t="s">
        <v>14</v>
      </c>
      <c r="I405" t="s">
        <v>14</v>
      </c>
    </row>
    <row r="406" spans="1:9">
      <c r="A406" t="s">
        <v>596</v>
      </c>
      <c r="B406" t="s">
        <v>570</v>
      </c>
      <c r="C406" t="s">
        <v>597</v>
      </c>
      <c r="D406" s="1">
        <v>18.28</v>
      </c>
      <c r="E406" s="2">
        <v>4.85</v>
      </c>
      <c r="F406" s="2">
        <v>88.66</v>
      </c>
      <c r="G406" t="s">
        <v>572</v>
      </c>
      <c r="H406" t="s">
        <v>14</v>
      </c>
      <c r="I406" t="s">
        <v>14</v>
      </c>
    </row>
    <row r="407" spans="1:9">
      <c r="A407" t="s">
        <v>598</v>
      </c>
      <c r="B407" t="s">
        <v>570</v>
      </c>
      <c r="C407" t="s">
        <v>81</v>
      </c>
      <c r="D407" s="1">
        <v>18.26</v>
      </c>
      <c r="E407" s="2">
        <v>4.3</v>
      </c>
      <c r="F407" s="2">
        <v>78.52</v>
      </c>
      <c r="G407" t="s">
        <v>572</v>
      </c>
      <c r="H407" t="s">
        <v>14</v>
      </c>
      <c r="I407" t="s">
        <v>14</v>
      </c>
    </row>
    <row r="408" spans="1:9">
      <c r="A408" t="s">
        <v>599</v>
      </c>
      <c r="B408" t="s">
        <v>570</v>
      </c>
      <c r="C408" t="s">
        <v>96</v>
      </c>
      <c r="D408" s="1">
        <v>18.16</v>
      </c>
      <c r="E408" s="2">
        <v>3.25</v>
      </c>
      <c r="F408" s="2">
        <v>59.02</v>
      </c>
      <c r="G408" t="s">
        <v>572</v>
      </c>
      <c r="H408" t="s">
        <v>14</v>
      </c>
      <c r="I408" t="s">
        <v>14</v>
      </c>
    </row>
    <row r="409" spans="1:9">
      <c r="A409" t="s">
        <v>600</v>
      </c>
      <c r="B409" t="s">
        <v>570</v>
      </c>
      <c r="C409" t="s">
        <v>110</v>
      </c>
      <c r="D409" s="1">
        <v>18.27</v>
      </c>
      <c r="E409" s="2">
        <v>6.1</v>
      </c>
      <c r="F409" s="2">
        <v>111.45</v>
      </c>
      <c r="G409" t="s">
        <v>572</v>
      </c>
      <c r="H409" t="s">
        <v>14</v>
      </c>
      <c r="I409" t="s">
        <v>14</v>
      </c>
    </row>
    <row r="410" spans="1:9">
      <c r="A410" t="s">
        <v>601</v>
      </c>
      <c r="B410" t="s">
        <v>570</v>
      </c>
      <c r="C410" t="s">
        <v>602</v>
      </c>
      <c r="D410" s="1">
        <v>18.21</v>
      </c>
      <c r="E410" s="2">
        <v>5.6</v>
      </c>
      <c r="F410" s="2">
        <v>101.98</v>
      </c>
      <c r="G410" t="s">
        <v>572</v>
      </c>
      <c r="H410" t="s">
        <v>14</v>
      </c>
      <c r="I410" t="s">
        <v>14</v>
      </c>
    </row>
    <row r="411" spans="1:9">
      <c r="A411" t="s">
        <v>603</v>
      </c>
      <c r="B411" t="s">
        <v>570</v>
      </c>
      <c r="C411" t="s">
        <v>604</v>
      </c>
      <c r="D411" s="1">
        <v>18.2</v>
      </c>
      <c r="E411" s="2">
        <v>3.4</v>
      </c>
      <c r="F411" s="2">
        <v>61.88</v>
      </c>
      <c r="G411" t="s">
        <v>572</v>
      </c>
      <c r="H411" t="s">
        <v>14</v>
      </c>
      <c r="I411" t="s">
        <v>14</v>
      </c>
    </row>
    <row r="412" spans="1:9">
      <c r="A412" t="s">
        <v>605</v>
      </c>
      <c r="B412" t="s">
        <v>570</v>
      </c>
      <c r="C412" t="s">
        <v>77</v>
      </c>
      <c r="D412" s="1">
        <v>18.2</v>
      </c>
      <c r="E412" s="2">
        <v>3.6</v>
      </c>
      <c r="F412" s="2">
        <v>65.52</v>
      </c>
      <c r="G412" t="s">
        <v>572</v>
      </c>
      <c r="H412" t="s">
        <v>14</v>
      </c>
      <c r="I412" t="s">
        <v>14</v>
      </c>
    </row>
    <row r="413" spans="1:9">
      <c r="A413" t="s">
        <v>606</v>
      </c>
      <c r="B413" t="s">
        <v>570</v>
      </c>
      <c r="C413" t="s">
        <v>77</v>
      </c>
      <c r="D413" s="1">
        <v>18.26</v>
      </c>
      <c r="E413" s="2">
        <v>3.6</v>
      </c>
      <c r="F413" s="2">
        <v>65.74</v>
      </c>
      <c r="G413" t="s">
        <v>572</v>
      </c>
      <c r="H413" t="s">
        <v>14</v>
      </c>
      <c r="I413" t="s">
        <v>14</v>
      </c>
    </row>
    <row r="414" spans="1:9">
      <c r="A414" t="s">
        <v>607</v>
      </c>
      <c r="B414" t="s">
        <v>570</v>
      </c>
      <c r="C414" t="s">
        <v>77</v>
      </c>
      <c r="D414" s="1">
        <v>18.27</v>
      </c>
      <c r="E414" s="2">
        <v>3.6</v>
      </c>
      <c r="F414" s="2">
        <v>65.77</v>
      </c>
      <c r="G414" t="s">
        <v>572</v>
      </c>
      <c r="H414" t="s">
        <v>14</v>
      </c>
      <c r="I414" t="s">
        <v>14</v>
      </c>
    </row>
    <row r="415" spans="1:9">
      <c r="A415" t="s">
        <v>608</v>
      </c>
      <c r="B415" t="s">
        <v>570</v>
      </c>
      <c r="C415" t="s">
        <v>108</v>
      </c>
      <c r="D415" s="1">
        <v>18.11</v>
      </c>
      <c r="E415" s="2">
        <v>5.6</v>
      </c>
      <c r="F415" s="2">
        <v>101.42</v>
      </c>
      <c r="G415" t="s">
        <v>572</v>
      </c>
      <c r="H415" t="s">
        <v>14</v>
      </c>
      <c r="I415" t="s">
        <v>14</v>
      </c>
    </row>
    <row r="416" spans="1:9">
      <c r="A416" t="s">
        <v>609</v>
      </c>
      <c r="B416" t="s">
        <v>570</v>
      </c>
      <c r="C416" t="s">
        <v>139</v>
      </c>
      <c r="D416" s="1">
        <v>18.2</v>
      </c>
      <c r="E416" s="2">
        <v>3.6</v>
      </c>
      <c r="F416" s="2">
        <v>65.52</v>
      </c>
      <c r="G416" t="s">
        <v>572</v>
      </c>
      <c r="H416" t="s">
        <v>14</v>
      </c>
      <c r="I416" t="s">
        <v>14</v>
      </c>
    </row>
    <row r="417" spans="1:9">
      <c r="A417" t="s">
        <v>610</v>
      </c>
      <c r="B417" t="s">
        <v>570</v>
      </c>
      <c r="C417" t="s">
        <v>108</v>
      </c>
      <c r="D417" s="1">
        <v>18.12</v>
      </c>
      <c r="E417" s="2">
        <v>5.6</v>
      </c>
      <c r="F417" s="2">
        <v>101.47</v>
      </c>
      <c r="G417" t="s">
        <v>572</v>
      </c>
      <c r="H417" t="s">
        <v>14</v>
      </c>
      <c r="I417" t="s">
        <v>14</v>
      </c>
    </row>
    <row r="418" spans="1:9">
      <c r="A418" t="s">
        <v>611</v>
      </c>
      <c r="B418" t="s">
        <v>570</v>
      </c>
      <c r="C418" t="s">
        <v>144</v>
      </c>
      <c r="D418" s="1">
        <v>18.23</v>
      </c>
      <c r="E418" s="2">
        <v>6.3</v>
      </c>
      <c r="F418" s="2">
        <v>114.85</v>
      </c>
      <c r="G418" t="s">
        <v>572</v>
      </c>
      <c r="H418" t="s">
        <v>14</v>
      </c>
      <c r="I418" t="s">
        <v>14</v>
      </c>
    </row>
    <row r="419" spans="1:9">
      <c r="A419" t="s">
        <v>612</v>
      </c>
      <c r="B419" t="s">
        <v>570</v>
      </c>
      <c r="C419" t="s">
        <v>102</v>
      </c>
      <c r="D419" s="1">
        <v>18.28</v>
      </c>
      <c r="E419" s="2">
        <v>4.45</v>
      </c>
      <c r="F419" s="2">
        <v>81.35</v>
      </c>
      <c r="G419" t="s">
        <v>572</v>
      </c>
      <c r="H419" t="s">
        <v>14</v>
      </c>
      <c r="I419" t="s">
        <v>14</v>
      </c>
    </row>
    <row r="420" spans="1:9">
      <c r="A420" t="s">
        <v>613</v>
      </c>
      <c r="B420" t="s">
        <v>570</v>
      </c>
      <c r="C420" t="s">
        <v>94</v>
      </c>
      <c r="D420" s="1">
        <v>18.15</v>
      </c>
      <c r="E420" s="2">
        <v>3.6</v>
      </c>
      <c r="F420" s="2">
        <v>65.34</v>
      </c>
      <c r="G420" t="s">
        <v>572</v>
      </c>
      <c r="H420" t="s">
        <v>14</v>
      </c>
      <c r="I420" t="s">
        <v>14</v>
      </c>
    </row>
    <row r="421" spans="1:9">
      <c r="A421" t="s">
        <v>614</v>
      </c>
      <c r="B421" t="s">
        <v>570</v>
      </c>
      <c r="C421" t="s">
        <v>110</v>
      </c>
      <c r="D421" s="1">
        <v>18.26</v>
      </c>
      <c r="E421" s="2">
        <v>6.1</v>
      </c>
      <c r="F421" s="2">
        <v>111.39</v>
      </c>
      <c r="G421" t="s">
        <v>572</v>
      </c>
      <c r="H421" t="s">
        <v>14</v>
      </c>
      <c r="I421" t="s">
        <v>14</v>
      </c>
    </row>
    <row r="422" spans="1:9">
      <c r="A422" t="s">
        <v>615</v>
      </c>
      <c r="B422" t="s">
        <v>570</v>
      </c>
      <c r="C422" t="s">
        <v>77</v>
      </c>
      <c r="D422" s="1">
        <v>18.18</v>
      </c>
      <c r="E422" s="2">
        <v>3.6</v>
      </c>
      <c r="F422" s="2">
        <v>65.45</v>
      </c>
      <c r="G422" t="s">
        <v>572</v>
      </c>
      <c r="H422" t="s">
        <v>14</v>
      </c>
      <c r="I422" t="s">
        <v>14</v>
      </c>
    </row>
    <row r="423" spans="1:9">
      <c r="A423" t="s">
        <v>616</v>
      </c>
      <c r="B423" t="s">
        <v>570</v>
      </c>
      <c r="C423" t="s">
        <v>617</v>
      </c>
      <c r="D423" s="1">
        <v>18.18</v>
      </c>
      <c r="E423" s="2">
        <v>4.85</v>
      </c>
      <c r="F423" s="2">
        <v>88.17</v>
      </c>
      <c r="G423" t="s">
        <v>572</v>
      </c>
      <c r="H423" t="s">
        <v>14</v>
      </c>
      <c r="I423" t="s">
        <v>14</v>
      </c>
    </row>
    <row r="424" spans="1:9">
      <c r="A424" t="s">
        <v>618</v>
      </c>
      <c r="B424" t="s">
        <v>619</v>
      </c>
      <c r="C424" t="s">
        <v>620</v>
      </c>
      <c r="D424" s="1">
        <v>20.14</v>
      </c>
      <c r="E424" s="2">
        <v>4.1</v>
      </c>
      <c r="F424" s="2">
        <v>82.57</v>
      </c>
      <c r="G424" t="s">
        <v>621</v>
      </c>
      <c r="H424" t="s">
        <v>14</v>
      </c>
      <c r="I424" t="s">
        <v>14</v>
      </c>
    </row>
    <row r="425" spans="1:9">
      <c r="A425" t="s">
        <v>622</v>
      </c>
      <c r="B425" t="s">
        <v>619</v>
      </c>
      <c r="C425" t="s">
        <v>592</v>
      </c>
      <c r="D425" s="1">
        <v>20.14</v>
      </c>
      <c r="E425" s="2">
        <v>4.45</v>
      </c>
      <c r="F425" s="2">
        <v>89.62</v>
      </c>
      <c r="G425" t="s">
        <v>621</v>
      </c>
      <c r="H425" t="s">
        <v>14</v>
      </c>
      <c r="I425" t="s">
        <v>14</v>
      </c>
    </row>
    <row r="426" spans="1:9">
      <c r="A426" t="s">
        <v>623</v>
      </c>
      <c r="B426" t="s">
        <v>619</v>
      </c>
      <c r="C426" t="s">
        <v>178</v>
      </c>
      <c r="D426" s="1">
        <v>20.07</v>
      </c>
      <c r="E426" s="2">
        <v>7.35</v>
      </c>
      <c r="F426" s="2">
        <v>147.51</v>
      </c>
      <c r="G426" t="s">
        <v>621</v>
      </c>
      <c r="H426" t="s">
        <v>14</v>
      </c>
      <c r="I426" t="s">
        <v>14</v>
      </c>
    </row>
    <row r="427" spans="1:9">
      <c r="A427" t="s">
        <v>624</v>
      </c>
      <c r="B427" t="s">
        <v>619</v>
      </c>
      <c r="C427" t="s">
        <v>625</v>
      </c>
      <c r="D427" s="1">
        <v>19.92</v>
      </c>
      <c r="E427" s="2">
        <v>5.05</v>
      </c>
      <c r="F427" s="2">
        <v>100.6</v>
      </c>
      <c r="G427" t="s">
        <v>621</v>
      </c>
      <c r="H427" t="s">
        <v>14</v>
      </c>
      <c r="I427" t="s">
        <v>14</v>
      </c>
    </row>
    <row r="428" spans="1:9">
      <c r="A428" t="s">
        <v>626</v>
      </c>
      <c r="B428" t="s">
        <v>619</v>
      </c>
      <c r="C428" t="s">
        <v>627</v>
      </c>
      <c r="D428" s="1">
        <v>19.89</v>
      </c>
      <c r="E428" s="2">
        <v>4.1</v>
      </c>
      <c r="F428" s="2">
        <v>81.55</v>
      </c>
      <c r="G428" t="s">
        <v>621</v>
      </c>
      <c r="H428" t="s">
        <v>14</v>
      </c>
      <c r="I428" t="s">
        <v>14</v>
      </c>
    </row>
    <row r="429" spans="1:9">
      <c r="A429" t="s">
        <v>628</v>
      </c>
      <c r="B429" t="s">
        <v>619</v>
      </c>
      <c r="C429" t="s">
        <v>135</v>
      </c>
      <c r="D429" s="1">
        <v>19.95</v>
      </c>
      <c r="E429" s="2">
        <v>5.6</v>
      </c>
      <c r="F429" s="2">
        <v>111.72</v>
      </c>
      <c r="G429" t="s">
        <v>621</v>
      </c>
      <c r="H429" t="s">
        <v>14</v>
      </c>
      <c r="I429" t="s">
        <v>14</v>
      </c>
    </row>
    <row r="430" spans="1:9">
      <c r="A430" t="s">
        <v>629</v>
      </c>
      <c r="B430" t="s">
        <v>619</v>
      </c>
      <c r="C430" t="s">
        <v>630</v>
      </c>
      <c r="D430" s="1">
        <v>19.89</v>
      </c>
      <c r="E430" s="2">
        <v>5.35</v>
      </c>
      <c r="F430" s="2">
        <v>106.41</v>
      </c>
      <c r="G430" t="s">
        <v>621</v>
      </c>
      <c r="H430" t="s">
        <v>14</v>
      </c>
      <c r="I430" t="s">
        <v>14</v>
      </c>
    </row>
    <row r="431" spans="1:9">
      <c r="A431" t="s">
        <v>631</v>
      </c>
      <c r="B431" t="s">
        <v>619</v>
      </c>
      <c r="C431" t="s">
        <v>106</v>
      </c>
      <c r="D431" s="1">
        <v>19.78</v>
      </c>
      <c r="E431" s="2">
        <v>4.45</v>
      </c>
      <c r="F431" s="2">
        <v>88.02</v>
      </c>
      <c r="G431" t="s">
        <v>621</v>
      </c>
      <c r="H431" t="s">
        <v>14</v>
      </c>
      <c r="I431" t="s">
        <v>14</v>
      </c>
    </row>
    <row r="432" spans="1:9">
      <c r="A432" t="s">
        <v>632</v>
      </c>
      <c r="B432" t="s">
        <v>619</v>
      </c>
      <c r="C432" t="s">
        <v>633</v>
      </c>
      <c r="D432" s="1">
        <v>19.89</v>
      </c>
      <c r="E432" s="2">
        <v>3.6</v>
      </c>
      <c r="F432" s="2">
        <v>71.6</v>
      </c>
      <c r="G432" t="s">
        <v>621</v>
      </c>
      <c r="H432" t="s">
        <v>14</v>
      </c>
      <c r="I432" t="s">
        <v>14</v>
      </c>
    </row>
    <row r="433" spans="1:9">
      <c r="A433" t="s">
        <v>634</v>
      </c>
      <c r="B433" t="s">
        <v>619</v>
      </c>
      <c r="C433" t="s">
        <v>84</v>
      </c>
      <c r="D433" s="1">
        <v>19.85</v>
      </c>
      <c r="E433" s="2">
        <v>6.3</v>
      </c>
      <c r="F433" s="2">
        <v>125.06</v>
      </c>
      <c r="G433" t="s">
        <v>621</v>
      </c>
      <c r="H433" t="s">
        <v>14</v>
      </c>
      <c r="I433" t="s">
        <v>14</v>
      </c>
    </row>
    <row r="434" spans="1:9">
      <c r="A434" t="s">
        <v>635</v>
      </c>
      <c r="B434" t="s">
        <v>619</v>
      </c>
      <c r="C434" t="s">
        <v>77</v>
      </c>
      <c r="D434" s="1">
        <v>19.89</v>
      </c>
      <c r="E434" s="2">
        <v>3.6</v>
      </c>
      <c r="F434" s="2">
        <v>71.6</v>
      </c>
      <c r="G434" t="s">
        <v>621</v>
      </c>
      <c r="H434" t="s">
        <v>14</v>
      </c>
      <c r="I434" t="s">
        <v>14</v>
      </c>
    </row>
    <row r="435" spans="1:9">
      <c r="A435" t="s">
        <v>636</v>
      </c>
      <c r="B435" t="s">
        <v>619</v>
      </c>
      <c r="C435" t="s">
        <v>183</v>
      </c>
      <c r="D435" s="1">
        <v>19.93</v>
      </c>
      <c r="E435" s="2">
        <v>4.1</v>
      </c>
      <c r="F435" s="2">
        <v>81.71</v>
      </c>
      <c r="G435" t="s">
        <v>621</v>
      </c>
      <c r="H435" t="s">
        <v>14</v>
      </c>
      <c r="I435" t="s">
        <v>14</v>
      </c>
    </row>
    <row r="436" spans="1:9">
      <c r="A436" t="s">
        <v>637</v>
      </c>
      <c r="B436" t="s">
        <v>619</v>
      </c>
      <c r="C436" t="s">
        <v>638</v>
      </c>
      <c r="D436" s="1">
        <v>19.9</v>
      </c>
      <c r="E436" s="2">
        <v>5.05</v>
      </c>
      <c r="F436" s="2">
        <v>100.49</v>
      </c>
      <c r="G436" t="s">
        <v>621</v>
      </c>
      <c r="H436" t="s">
        <v>14</v>
      </c>
      <c r="I436" t="s">
        <v>14</v>
      </c>
    </row>
    <row r="437" spans="1:9">
      <c r="A437" t="s">
        <v>639</v>
      </c>
      <c r="B437" t="s">
        <v>619</v>
      </c>
      <c r="C437" t="s">
        <v>86</v>
      </c>
      <c r="D437" s="1">
        <v>19.82</v>
      </c>
      <c r="E437" s="2">
        <v>5.85</v>
      </c>
      <c r="F437" s="2">
        <v>115.95</v>
      </c>
      <c r="G437" t="s">
        <v>621</v>
      </c>
      <c r="H437" t="s">
        <v>14</v>
      </c>
      <c r="I437" t="s">
        <v>14</v>
      </c>
    </row>
    <row r="438" spans="1:9">
      <c r="A438" t="s">
        <v>640</v>
      </c>
      <c r="B438" t="s">
        <v>619</v>
      </c>
      <c r="C438" t="s">
        <v>641</v>
      </c>
      <c r="D438" s="1">
        <v>19.87</v>
      </c>
      <c r="E438" s="2">
        <v>4.1</v>
      </c>
      <c r="F438" s="2">
        <v>81.47</v>
      </c>
      <c r="G438" t="s">
        <v>621</v>
      </c>
      <c r="H438" t="s">
        <v>14</v>
      </c>
      <c r="I438" t="s">
        <v>14</v>
      </c>
    </row>
    <row r="439" spans="1:9">
      <c r="A439" t="s">
        <v>642</v>
      </c>
      <c r="B439" t="s">
        <v>619</v>
      </c>
      <c r="C439" t="s">
        <v>106</v>
      </c>
      <c r="D439" s="1">
        <v>19.91</v>
      </c>
      <c r="E439" s="2">
        <v>4.45</v>
      </c>
      <c r="F439" s="2">
        <v>88.6</v>
      </c>
      <c r="G439" t="s">
        <v>621</v>
      </c>
      <c r="H439" t="s">
        <v>14</v>
      </c>
      <c r="I439" t="s">
        <v>14</v>
      </c>
    </row>
    <row r="440" spans="1:9">
      <c r="A440" t="s">
        <v>643</v>
      </c>
      <c r="B440" t="s">
        <v>619</v>
      </c>
      <c r="C440" t="s">
        <v>638</v>
      </c>
      <c r="D440" s="1">
        <v>20</v>
      </c>
      <c r="E440" s="2">
        <v>5.05</v>
      </c>
      <c r="F440" s="2">
        <v>101</v>
      </c>
      <c r="G440" t="s">
        <v>621</v>
      </c>
      <c r="H440" t="s">
        <v>14</v>
      </c>
      <c r="I440" t="s">
        <v>14</v>
      </c>
    </row>
    <row r="441" spans="1:9">
      <c r="A441" t="s">
        <v>644</v>
      </c>
      <c r="B441" t="s">
        <v>619</v>
      </c>
      <c r="C441" t="s">
        <v>77</v>
      </c>
      <c r="D441" s="1">
        <v>19.95</v>
      </c>
      <c r="E441" s="2">
        <v>3.6</v>
      </c>
      <c r="F441" s="2">
        <v>71.82</v>
      </c>
      <c r="G441" t="s">
        <v>621</v>
      </c>
      <c r="H441" t="s">
        <v>14</v>
      </c>
      <c r="I441" t="s">
        <v>14</v>
      </c>
    </row>
    <row r="442" spans="1:9">
      <c r="A442" t="s">
        <v>645</v>
      </c>
      <c r="B442" t="s">
        <v>619</v>
      </c>
      <c r="C442" t="s">
        <v>88</v>
      </c>
      <c r="D442" s="1">
        <v>19.89</v>
      </c>
      <c r="E442" s="2">
        <v>5.6</v>
      </c>
      <c r="F442" s="2">
        <v>111.38</v>
      </c>
      <c r="G442" t="s">
        <v>621</v>
      </c>
      <c r="H442" t="s">
        <v>14</v>
      </c>
      <c r="I442" t="s">
        <v>14</v>
      </c>
    </row>
    <row r="443" spans="1:9">
      <c r="A443" t="s">
        <v>646</v>
      </c>
      <c r="B443" t="s">
        <v>619</v>
      </c>
      <c r="C443" t="s">
        <v>94</v>
      </c>
      <c r="D443" s="1">
        <v>19.88</v>
      </c>
      <c r="E443" s="2">
        <v>3.6</v>
      </c>
      <c r="F443" s="2">
        <v>71.57</v>
      </c>
      <c r="G443" t="s">
        <v>621</v>
      </c>
      <c r="H443" t="s">
        <v>14</v>
      </c>
      <c r="I443" t="s">
        <v>14</v>
      </c>
    </row>
    <row r="444" spans="1:9">
      <c r="A444" t="s">
        <v>647</v>
      </c>
      <c r="B444" t="s">
        <v>619</v>
      </c>
      <c r="C444" t="s">
        <v>183</v>
      </c>
      <c r="D444" s="1">
        <v>19.85</v>
      </c>
      <c r="E444" s="2">
        <v>4.1</v>
      </c>
      <c r="F444" s="2">
        <v>81.39</v>
      </c>
      <c r="G444" t="s">
        <v>621</v>
      </c>
      <c r="H444" t="s">
        <v>14</v>
      </c>
      <c r="I444" t="s">
        <v>14</v>
      </c>
    </row>
    <row r="445" spans="1:9">
      <c r="A445" t="s">
        <v>648</v>
      </c>
      <c r="B445" t="s">
        <v>619</v>
      </c>
      <c r="C445" t="s">
        <v>92</v>
      </c>
      <c r="D445" s="1">
        <v>1</v>
      </c>
      <c r="E445" s="2">
        <v>40</v>
      </c>
      <c r="F445" s="2">
        <v>40</v>
      </c>
      <c r="G445" t="s">
        <v>621</v>
      </c>
      <c r="H445" t="s">
        <v>14</v>
      </c>
      <c r="I445" t="s">
        <v>14</v>
      </c>
    </row>
    <row r="446" spans="1:9">
      <c r="A446" t="s">
        <v>649</v>
      </c>
      <c r="B446" t="s">
        <v>619</v>
      </c>
      <c r="C446" t="s">
        <v>92</v>
      </c>
      <c r="D446" s="1">
        <v>12.07</v>
      </c>
      <c r="E446" s="2">
        <v>6.1</v>
      </c>
      <c r="F446" s="2">
        <v>73.63</v>
      </c>
      <c r="G446" t="s">
        <v>621</v>
      </c>
      <c r="H446" t="s">
        <v>14</v>
      </c>
      <c r="I446" t="s">
        <v>14</v>
      </c>
    </row>
    <row r="447" spans="1:9">
      <c r="A447" t="s">
        <v>650</v>
      </c>
      <c r="B447" t="s">
        <v>619</v>
      </c>
      <c r="C447" t="s">
        <v>183</v>
      </c>
      <c r="D447" s="1">
        <v>19.9</v>
      </c>
      <c r="E447" s="2">
        <v>4.1</v>
      </c>
      <c r="F447" s="2">
        <v>81.59</v>
      </c>
      <c r="G447" t="s">
        <v>621</v>
      </c>
      <c r="H447" t="s">
        <v>14</v>
      </c>
      <c r="I447" t="s">
        <v>14</v>
      </c>
    </row>
    <row r="448" spans="1:9">
      <c r="A448" t="s">
        <v>651</v>
      </c>
      <c r="B448" t="s">
        <v>619</v>
      </c>
      <c r="C448" t="s">
        <v>110</v>
      </c>
      <c r="D448" s="1">
        <v>19.96</v>
      </c>
      <c r="E448" s="2">
        <v>6.1</v>
      </c>
      <c r="F448" s="2">
        <v>121.76</v>
      </c>
      <c r="G448" t="s">
        <v>621</v>
      </c>
      <c r="H448" t="s">
        <v>14</v>
      </c>
      <c r="I448" t="s">
        <v>14</v>
      </c>
    </row>
    <row r="449" spans="1:9">
      <c r="A449" t="s">
        <v>652</v>
      </c>
      <c r="B449" t="s">
        <v>619</v>
      </c>
      <c r="C449" t="s">
        <v>653</v>
      </c>
      <c r="D449" s="1">
        <v>19.99</v>
      </c>
      <c r="E449" s="2">
        <v>4.3</v>
      </c>
      <c r="F449" s="2">
        <v>85.96</v>
      </c>
      <c r="G449" t="s">
        <v>621</v>
      </c>
      <c r="H449" t="s">
        <v>14</v>
      </c>
      <c r="I449" t="s">
        <v>14</v>
      </c>
    </row>
    <row r="450" spans="1:9">
      <c r="A450" t="s">
        <v>654</v>
      </c>
      <c r="B450" t="s">
        <v>619</v>
      </c>
      <c r="C450" t="s">
        <v>108</v>
      </c>
      <c r="D450" s="1">
        <v>19.89</v>
      </c>
      <c r="E450" s="2">
        <v>5.6</v>
      </c>
      <c r="F450" s="2">
        <v>111.38</v>
      </c>
      <c r="G450" t="s">
        <v>621</v>
      </c>
      <c r="H450" t="s">
        <v>14</v>
      </c>
      <c r="I450" t="s">
        <v>14</v>
      </c>
    </row>
    <row r="451" spans="1:9">
      <c r="A451" t="s">
        <v>655</v>
      </c>
      <c r="B451" t="s">
        <v>619</v>
      </c>
      <c r="C451" t="s">
        <v>94</v>
      </c>
      <c r="D451" s="1">
        <v>19.96</v>
      </c>
      <c r="E451" s="2">
        <v>3.6</v>
      </c>
      <c r="F451" s="2">
        <v>71.86</v>
      </c>
      <c r="G451" t="s">
        <v>621</v>
      </c>
      <c r="H451" t="s">
        <v>14</v>
      </c>
      <c r="I451" t="s">
        <v>14</v>
      </c>
    </row>
    <row r="452" spans="1:9">
      <c r="A452" t="s">
        <v>656</v>
      </c>
      <c r="B452" t="s">
        <v>619</v>
      </c>
      <c r="C452" t="s">
        <v>108</v>
      </c>
      <c r="D452" s="1">
        <v>19.91</v>
      </c>
      <c r="E452" s="2">
        <v>5.6</v>
      </c>
      <c r="F452" s="2">
        <v>111.5</v>
      </c>
      <c r="G452" t="s">
        <v>621</v>
      </c>
      <c r="H452" t="s">
        <v>14</v>
      </c>
      <c r="I452" t="s">
        <v>14</v>
      </c>
    </row>
    <row r="453" spans="1:9">
      <c r="A453" t="s">
        <v>657</v>
      </c>
      <c r="B453" t="s">
        <v>619</v>
      </c>
      <c r="C453" t="s">
        <v>108</v>
      </c>
      <c r="D453" s="1">
        <v>19.83</v>
      </c>
      <c r="E453" s="2">
        <v>5.6</v>
      </c>
      <c r="F453" s="2">
        <v>111.05</v>
      </c>
      <c r="G453" t="s">
        <v>621</v>
      </c>
      <c r="H453" t="s">
        <v>14</v>
      </c>
      <c r="I453" t="s">
        <v>14</v>
      </c>
    </row>
    <row r="454" spans="1:9">
      <c r="A454" t="s">
        <v>658</v>
      </c>
      <c r="B454" t="s">
        <v>619</v>
      </c>
      <c r="C454" t="s">
        <v>94</v>
      </c>
      <c r="D454" s="1">
        <v>19.77</v>
      </c>
      <c r="E454" s="2">
        <v>3.6</v>
      </c>
      <c r="F454" s="2">
        <v>71.17</v>
      </c>
      <c r="G454" t="s">
        <v>621</v>
      </c>
      <c r="H454" t="s">
        <v>14</v>
      </c>
      <c r="I454" t="s">
        <v>14</v>
      </c>
    </row>
    <row r="455" spans="1:9">
      <c r="A455" t="s">
        <v>659</v>
      </c>
      <c r="B455" t="s">
        <v>619</v>
      </c>
      <c r="C455" t="s">
        <v>638</v>
      </c>
      <c r="D455" s="1">
        <v>19.88</v>
      </c>
      <c r="E455" s="2">
        <v>5.05</v>
      </c>
      <c r="F455" s="2">
        <v>100.39</v>
      </c>
      <c r="G455" t="s">
        <v>621</v>
      </c>
      <c r="H455" t="s">
        <v>14</v>
      </c>
      <c r="I455" t="s">
        <v>14</v>
      </c>
    </row>
    <row r="456" spans="1:9">
      <c r="A456" t="s">
        <v>660</v>
      </c>
      <c r="B456" t="s">
        <v>619</v>
      </c>
      <c r="C456" t="s">
        <v>661</v>
      </c>
      <c r="D456" s="1">
        <v>19.88</v>
      </c>
      <c r="E456" s="2">
        <v>5.6</v>
      </c>
      <c r="F456" s="2">
        <v>111.33</v>
      </c>
      <c r="G456" t="s">
        <v>621</v>
      </c>
      <c r="H456" t="s">
        <v>14</v>
      </c>
      <c r="I456" t="s">
        <v>14</v>
      </c>
    </row>
    <row r="457" spans="1:9">
      <c r="A457" t="s">
        <v>662</v>
      </c>
      <c r="B457" t="s">
        <v>619</v>
      </c>
      <c r="C457" t="s">
        <v>118</v>
      </c>
      <c r="D457" s="1">
        <v>20.01</v>
      </c>
      <c r="E457" s="2">
        <v>5.05</v>
      </c>
      <c r="F457" s="2">
        <v>101.05</v>
      </c>
      <c r="G457" t="s">
        <v>621</v>
      </c>
      <c r="H457" t="s">
        <v>14</v>
      </c>
      <c r="I457" t="s">
        <v>14</v>
      </c>
    </row>
    <row r="458" spans="1:9">
      <c r="A458" t="s">
        <v>663</v>
      </c>
      <c r="B458" t="s">
        <v>619</v>
      </c>
      <c r="C458" t="s">
        <v>664</v>
      </c>
      <c r="D458" s="1">
        <v>20.16</v>
      </c>
      <c r="E458" s="2">
        <v>6.85</v>
      </c>
      <c r="F458" s="2">
        <v>138.1</v>
      </c>
      <c r="G458" t="s">
        <v>621</v>
      </c>
      <c r="H458" t="s">
        <v>14</v>
      </c>
      <c r="I458" t="s">
        <v>14</v>
      </c>
    </row>
    <row r="459" spans="1:9">
      <c r="A459" t="s">
        <v>665</v>
      </c>
      <c r="B459" t="s">
        <v>619</v>
      </c>
      <c r="C459" t="s">
        <v>666</v>
      </c>
      <c r="D459" s="1">
        <v>20.08</v>
      </c>
      <c r="E459" s="2">
        <v>5.85</v>
      </c>
      <c r="F459" s="2">
        <v>117.47</v>
      </c>
      <c r="G459" t="s">
        <v>621</v>
      </c>
      <c r="H459" t="s">
        <v>14</v>
      </c>
      <c r="I459" t="s">
        <v>14</v>
      </c>
    </row>
    <row r="460" spans="1:9">
      <c r="A460" t="s">
        <v>667</v>
      </c>
      <c r="B460" t="s">
        <v>619</v>
      </c>
      <c r="C460" t="s">
        <v>668</v>
      </c>
      <c r="D460" s="1">
        <v>20.11</v>
      </c>
      <c r="E460" s="2">
        <v>4.2</v>
      </c>
      <c r="F460" s="2">
        <v>84.46</v>
      </c>
      <c r="G460" t="s">
        <v>621</v>
      </c>
      <c r="H460" t="s">
        <v>14</v>
      </c>
      <c r="I460" t="s">
        <v>14</v>
      </c>
    </row>
    <row r="461" spans="1:9">
      <c r="A461" t="s">
        <v>669</v>
      </c>
      <c r="B461" t="s">
        <v>619</v>
      </c>
      <c r="C461" t="s">
        <v>670</v>
      </c>
      <c r="D461" s="1">
        <v>20.14</v>
      </c>
      <c r="E461" s="2">
        <v>5.85</v>
      </c>
      <c r="F461" s="2">
        <v>117.82</v>
      </c>
      <c r="G461" t="s">
        <v>621</v>
      </c>
      <c r="H461" t="s">
        <v>14</v>
      </c>
      <c r="I461" t="s">
        <v>14</v>
      </c>
    </row>
    <row r="462" spans="1:9">
      <c r="A462" t="s">
        <v>671</v>
      </c>
      <c r="B462" t="s">
        <v>619</v>
      </c>
      <c r="C462" t="s">
        <v>672</v>
      </c>
      <c r="D462" s="1">
        <v>20.05</v>
      </c>
      <c r="E462" s="2">
        <v>5.6</v>
      </c>
      <c r="F462" s="2">
        <v>112.28</v>
      </c>
      <c r="G462" t="s">
        <v>621</v>
      </c>
      <c r="H462" t="s">
        <v>14</v>
      </c>
      <c r="I462" t="s">
        <v>14</v>
      </c>
    </row>
    <row r="463" spans="1:9">
      <c r="A463" t="s">
        <v>673</v>
      </c>
      <c r="B463" t="s">
        <v>674</v>
      </c>
      <c r="C463" t="s">
        <v>302</v>
      </c>
      <c r="D463" s="1">
        <v>18.99</v>
      </c>
      <c r="E463" s="2">
        <v>4.1</v>
      </c>
      <c r="F463" s="2">
        <v>77.86</v>
      </c>
      <c r="G463" t="s">
        <v>675</v>
      </c>
      <c r="H463" t="s">
        <v>14</v>
      </c>
      <c r="I463" t="s">
        <v>14</v>
      </c>
    </row>
    <row r="464" spans="1:9">
      <c r="A464" t="s">
        <v>676</v>
      </c>
      <c r="B464" t="s">
        <v>674</v>
      </c>
      <c r="C464" t="s">
        <v>318</v>
      </c>
      <c r="D464" s="1">
        <v>19</v>
      </c>
      <c r="E464" s="2">
        <v>4.1</v>
      </c>
      <c r="F464" s="2">
        <v>77.9</v>
      </c>
      <c r="G464" t="s">
        <v>675</v>
      </c>
      <c r="H464" t="s">
        <v>14</v>
      </c>
      <c r="I464" t="s">
        <v>14</v>
      </c>
    </row>
    <row r="465" spans="1:9">
      <c r="A465" t="s">
        <v>677</v>
      </c>
      <c r="B465" t="s">
        <v>674</v>
      </c>
      <c r="C465" t="s">
        <v>339</v>
      </c>
      <c r="D465" s="1">
        <v>18.97</v>
      </c>
      <c r="E465" s="2">
        <v>4.1</v>
      </c>
      <c r="F465" s="2">
        <v>77.78</v>
      </c>
      <c r="G465" t="s">
        <v>675</v>
      </c>
      <c r="H465" t="s">
        <v>14</v>
      </c>
      <c r="I465" t="s">
        <v>14</v>
      </c>
    </row>
    <row r="466" spans="1:9">
      <c r="A466" t="s">
        <v>678</v>
      </c>
      <c r="B466" t="s">
        <v>674</v>
      </c>
      <c r="C466" t="s">
        <v>679</v>
      </c>
      <c r="D466" s="1">
        <v>18.95</v>
      </c>
      <c r="E466" s="2">
        <v>3.6</v>
      </c>
      <c r="F466" s="2">
        <v>68.22</v>
      </c>
      <c r="G466" t="s">
        <v>675</v>
      </c>
      <c r="H466" t="s">
        <v>14</v>
      </c>
      <c r="I466" t="s">
        <v>14</v>
      </c>
    </row>
    <row r="467" spans="1:9">
      <c r="A467" t="s">
        <v>680</v>
      </c>
      <c r="B467" t="s">
        <v>674</v>
      </c>
      <c r="C467" t="s">
        <v>309</v>
      </c>
      <c r="D467" s="1">
        <v>18.95</v>
      </c>
      <c r="E467" s="2">
        <v>4.45</v>
      </c>
      <c r="F467" s="2">
        <v>84.33</v>
      </c>
      <c r="G467" t="s">
        <v>675</v>
      </c>
      <c r="H467" t="s">
        <v>14</v>
      </c>
      <c r="I467" t="s">
        <v>14</v>
      </c>
    </row>
    <row r="468" spans="1:9">
      <c r="A468" t="s">
        <v>681</v>
      </c>
      <c r="B468" t="s">
        <v>674</v>
      </c>
      <c r="C468" t="s">
        <v>302</v>
      </c>
      <c r="D468" s="1">
        <v>18.96</v>
      </c>
      <c r="E468" s="2">
        <v>4.1</v>
      </c>
      <c r="F468" s="2">
        <v>77.74</v>
      </c>
      <c r="G468" t="s">
        <v>675</v>
      </c>
      <c r="H468" t="s">
        <v>14</v>
      </c>
      <c r="I468" t="s">
        <v>14</v>
      </c>
    </row>
    <row r="469" spans="1:9">
      <c r="A469" t="s">
        <v>682</v>
      </c>
      <c r="B469" t="s">
        <v>674</v>
      </c>
      <c r="C469" t="s">
        <v>318</v>
      </c>
      <c r="D469" s="1">
        <v>19.05</v>
      </c>
      <c r="E469" s="2">
        <v>4.1</v>
      </c>
      <c r="F469" s="2">
        <v>78.1</v>
      </c>
      <c r="G469" t="s">
        <v>675</v>
      </c>
      <c r="H469" t="s">
        <v>14</v>
      </c>
      <c r="I469" t="s">
        <v>14</v>
      </c>
    </row>
    <row r="470" spans="1:9">
      <c r="A470" t="s">
        <v>683</v>
      </c>
      <c r="B470" t="s">
        <v>684</v>
      </c>
      <c r="C470" t="s">
        <v>685</v>
      </c>
      <c r="D470" s="1">
        <v>15.73</v>
      </c>
      <c r="E470" s="2">
        <v>5.85</v>
      </c>
      <c r="F470" s="2">
        <v>92.02</v>
      </c>
      <c r="G470" t="s">
        <v>686</v>
      </c>
      <c r="H470" t="s">
        <v>14</v>
      </c>
      <c r="I470" t="s">
        <v>14</v>
      </c>
    </row>
    <row r="471" spans="1:9">
      <c r="A471" t="s">
        <v>687</v>
      </c>
      <c r="B471" t="s">
        <v>684</v>
      </c>
      <c r="C471" t="s">
        <v>688</v>
      </c>
      <c r="D471" s="1">
        <v>15.68</v>
      </c>
      <c r="E471" s="2">
        <v>4.05</v>
      </c>
      <c r="F471" s="2">
        <v>63.5</v>
      </c>
      <c r="G471" t="s">
        <v>686</v>
      </c>
      <c r="H471" t="s">
        <v>14</v>
      </c>
      <c r="I471" t="s">
        <v>14</v>
      </c>
    </row>
    <row r="472" spans="1:9">
      <c r="A472" t="s">
        <v>689</v>
      </c>
      <c r="B472" t="s">
        <v>684</v>
      </c>
      <c r="C472" t="s">
        <v>690</v>
      </c>
      <c r="D472" s="1">
        <v>15.75</v>
      </c>
      <c r="E472" s="2">
        <v>7.45</v>
      </c>
      <c r="F472" s="2">
        <v>117.34</v>
      </c>
      <c r="G472" t="s">
        <v>686</v>
      </c>
      <c r="H472" t="s">
        <v>14</v>
      </c>
      <c r="I472" t="s">
        <v>14</v>
      </c>
    </row>
    <row r="473" spans="1:9">
      <c r="A473" t="s">
        <v>691</v>
      </c>
      <c r="B473" t="s">
        <v>684</v>
      </c>
      <c r="C473" t="s">
        <v>692</v>
      </c>
      <c r="D473" s="1">
        <v>15.74</v>
      </c>
      <c r="E473" s="2">
        <v>4.45</v>
      </c>
      <c r="F473" s="2">
        <v>70.04</v>
      </c>
      <c r="G473" t="s">
        <v>686</v>
      </c>
      <c r="H473" t="s">
        <v>14</v>
      </c>
      <c r="I473" t="s">
        <v>14</v>
      </c>
    </row>
    <row r="474" spans="1:9">
      <c r="A474" t="s">
        <v>693</v>
      </c>
      <c r="B474" t="s">
        <v>684</v>
      </c>
      <c r="C474" t="s">
        <v>685</v>
      </c>
      <c r="D474" s="1">
        <v>15.87</v>
      </c>
      <c r="E474" s="2">
        <v>5.85</v>
      </c>
      <c r="F474" s="2">
        <v>92.84</v>
      </c>
      <c r="G474" t="s">
        <v>686</v>
      </c>
      <c r="H474" t="s">
        <v>14</v>
      </c>
      <c r="I474" t="s">
        <v>14</v>
      </c>
    </row>
    <row r="475" spans="1:9">
      <c r="A475" t="s">
        <v>694</v>
      </c>
      <c r="B475" t="s">
        <v>684</v>
      </c>
      <c r="C475" t="s">
        <v>695</v>
      </c>
      <c r="D475" s="1">
        <v>15.74</v>
      </c>
      <c r="E475" s="2">
        <v>5.35</v>
      </c>
      <c r="F475" s="2">
        <v>84.21</v>
      </c>
      <c r="G475" t="s">
        <v>686</v>
      </c>
      <c r="H475" t="s">
        <v>14</v>
      </c>
      <c r="I475" t="s">
        <v>14</v>
      </c>
    </row>
    <row r="476" spans="1:9">
      <c r="A476" t="s">
        <v>696</v>
      </c>
      <c r="B476" t="s">
        <v>684</v>
      </c>
      <c r="C476" t="s">
        <v>685</v>
      </c>
      <c r="D476" s="1">
        <v>15.9</v>
      </c>
      <c r="E476" s="2">
        <v>5.85</v>
      </c>
      <c r="F476" s="2">
        <v>93.02</v>
      </c>
      <c r="G476" t="s">
        <v>686</v>
      </c>
      <c r="H476" t="s">
        <v>14</v>
      </c>
      <c r="I476" t="s">
        <v>14</v>
      </c>
    </row>
    <row r="477" spans="1:9">
      <c r="A477" t="s">
        <v>697</v>
      </c>
      <c r="B477" t="s">
        <v>684</v>
      </c>
      <c r="C477" t="s">
        <v>698</v>
      </c>
      <c r="D477" s="1">
        <v>15.9</v>
      </c>
      <c r="E477" s="2">
        <v>5.6</v>
      </c>
      <c r="F477" s="2">
        <v>89.04</v>
      </c>
      <c r="G477" t="s">
        <v>686</v>
      </c>
      <c r="H477" t="s">
        <v>14</v>
      </c>
      <c r="I477" t="s">
        <v>14</v>
      </c>
    </row>
    <row r="478" spans="1:9">
      <c r="A478" t="s">
        <v>699</v>
      </c>
      <c r="B478" t="s">
        <v>684</v>
      </c>
      <c r="C478" t="s">
        <v>700</v>
      </c>
      <c r="D478" s="1">
        <v>15.87</v>
      </c>
      <c r="E478" s="2">
        <v>5.85</v>
      </c>
      <c r="F478" s="2">
        <v>92.84</v>
      </c>
      <c r="G478" t="s">
        <v>686</v>
      </c>
      <c r="H478" t="s">
        <v>14</v>
      </c>
      <c r="I478" t="s">
        <v>14</v>
      </c>
    </row>
    <row r="479" spans="1:9">
      <c r="A479" t="s">
        <v>701</v>
      </c>
      <c r="B479" t="s">
        <v>684</v>
      </c>
      <c r="C479" t="s">
        <v>702</v>
      </c>
      <c r="D479" s="1">
        <v>15.77</v>
      </c>
      <c r="E479" s="2">
        <v>5.85</v>
      </c>
      <c r="F479" s="2">
        <v>92.25</v>
      </c>
      <c r="G479" t="s">
        <v>686</v>
      </c>
      <c r="H479" t="s">
        <v>14</v>
      </c>
      <c r="I479" t="s">
        <v>14</v>
      </c>
    </row>
    <row r="480" spans="1:9">
      <c r="A480" t="s">
        <v>703</v>
      </c>
      <c r="B480" t="s">
        <v>684</v>
      </c>
      <c r="C480" t="s">
        <v>704</v>
      </c>
      <c r="D480" s="1">
        <v>15.86</v>
      </c>
      <c r="E480" s="2">
        <v>5.05</v>
      </c>
      <c r="F480" s="2">
        <v>80.09</v>
      </c>
      <c r="G480" t="s">
        <v>686</v>
      </c>
      <c r="H480" t="s">
        <v>14</v>
      </c>
      <c r="I480" t="s">
        <v>14</v>
      </c>
    </row>
    <row r="481" spans="1:9">
      <c r="A481" t="s">
        <v>705</v>
      </c>
      <c r="B481" t="s">
        <v>684</v>
      </c>
      <c r="C481" t="s">
        <v>706</v>
      </c>
      <c r="D481" s="1">
        <v>15.88</v>
      </c>
      <c r="E481" s="2">
        <v>8.65</v>
      </c>
      <c r="F481" s="2">
        <v>137.36</v>
      </c>
      <c r="G481" t="s">
        <v>686</v>
      </c>
      <c r="H481" t="s">
        <v>14</v>
      </c>
      <c r="I481" t="s">
        <v>14</v>
      </c>
    </row>
    <row r="482" spans="1:9">
      <c r="A482" t="s">
        <v>707</v>
      </c>
      <c r="B482" t="s">
        <v>684</v>
      </c>
      <c r="C482" t="s">
        <v>700</v>
      </c>
      <c r="D482" s="1">
        <v>15.76</v>
      </c>
      <c r="E482" s="2">
        <v>5.85</v>
      </c>
      <c r="F482" s="2">
        <v>92.2</v>
      </c>
      <c r="G482" t="s">
        <v>686</v>
      </c>
      <c r="H482" t="s">
        <v>14</v>
      </c>
      <c r="I482" t="s">
        <v>14</v>
      </c>
    </row>
    <row r="483" spans="1:9">
      <c r="A483" t="s">
        <v>708</v>
      </c>
      <c r="B483" t="s">
        <v>684</v>
      </c>
      <c r="C483" t="s">
        <v>692</v>
      </c>
      <c r="D483" s="1">
        <v>15.89</v>
      </c>
      <c r="E483" s="2">
        <v>4.45</v>
      </c>
      <c r="F483" s="2">
        <v>70.71</v>
      </c>
      <c r="G483" t="s">
        <v>686</v>
      </c>
      <c r="H483" t="s">
        <v>14</v>
      </c>
      <c r="I483" t="s">
        <v>14</v>
      </c>
    </row>
    <row r="484" spans="1:9">
      <c r="A484" t="s">
        <v>709</v>
      </c>
      <c r="B484" t="s">
        <v>684</v>
      </c>
      <c r="C484" t="s">
        <v>706</v>
      </c>
      <c r="D484" s="1">
        <v>15.82</v>
      </c>
      <c r="E484" s="2">
        <v>8.65</v>
      </c>
      <c r="F484" s="2">
        <v>136.84</v>
      </c>
      <c r="G484" t="s">
        <v>686</v>
      </c>
      <c r="H484" t="s">
        <v>14</v>
      </c>
      <c r="I484" t="s">
        <v>14</v>
      </c>
    </row>
    <row r="485" spans="1:9">
      <c r="A485" t="s">
        <v>710</v>
      </c>
      <c r="B485" t="s">
        <v>684</v>
      </c>
      <c r="C485" t="s">
        <v>702</v>
      </c>
      <c r="D485" s="1">
        <v>15.81</v>
      </c>
      <c r="E485" s="2">
        <v>5.85</v>
      </c>
      <c r="F485" s="2">
        <v>92.49</v>
      </c>
      <c r="G485" t="s">
        <v>686</v>
      </c>
      <c r="H485" t="s">
        <v>14</v>
      </c>
      <c r="I485" t="s">
        <v>14</v>
      </c>
    </row>
    <row r="486" spans="1:9">
      <c r="A486" t="s">
        <v>711</v>
      </c>
      <c r="B486" t="s">
        <v>684</v>
      </c>
      <c r="C486" t="s">
        <v>692</v>
      </c>
      <c r="D486" s="1">
        <v>15.8</v>
      </c>
      <c r="E486" s="2">
        <v>4.45</v>
      </c>
      <c r="F486" s="2">
        <v>70.31</v>
      </c>
      <c r="G486" t="s">
        <v>686</v>
      </c>
      <c r="H486" t="s">
        <v>14</v>
      </c>
      <c r="I486" t="s">
        <v>14</v>
      </c>
    </row>
    <row r="487" spans="1:9">
      <c r="A487" t="s">
        <v>712</v>
      </c>
      <c r="B487" t="s">
        <v>684</v>
      </c>
      <c r="C487" t="s">
        <v>685</v>
      </c>
      <c r="D487" s="1">
        <v>15.79</v>
      </c>
      <c r="E487" s="2">
        <v>5.85</v>
      </c>
      <c r="F487" s="2">
        <v>92.37</v>
      </c>
      <c r="G487" t="s">
        <v>686</v>
      </c>
      <c r="H487" t="s">
        <v>14</v>
      </c>
      <c r="I487" t="s">
        <v>14</v>
      </c>
    </row>
    <row r="488" spans="1:9">
      <c r="A488" t="s">
        <v>713</v>
      </c>
      <c r="B488" t="s">
        <v>684</v>
      </c>
      <c r="C488" t="s">
        <v>692</v>
      </c>
      <c r="D488" s="1">
        <v>15.65</v>
      </c>
      <c r="E488" s="2">
        <v>4.45</v>
      </c>
      <c r="F488" s="2">
        <v>69.64</v>
      </c>
      <c r="G488" t="s">
        <v>686</v>
      </c>
      <c r="H488" t="s">
        <v>14</v>
      </c>
      <c r="I488" t="s">
        <v>14</v>
      </c>
    </row>
    <row r="489" spans="1:9">
      <c r="A489" t="s">
        <v>714</v>
      </c>
      <c r="B489" t="s">
        <v>684</v>
      </c>
      <c r="C489" t="s">
        <v>715</v>
      </c>
      <c r="D489" s="1">
        <v>15.77</v>
      </c>
      <c r="E489" s="2">
        <v>4.1</v>
      </c>
      <c r="F489" s="2">
        <v>64.66</v>
      </c>
      <c r="G489" t="s">
        <v>686</v>
      </c>
      <c r="H489" t="s">
        <v>14</v>
      </c>
      <c r="I489" t="s">
        <v>14</v>
      </c>
    </row>
    <row r="490" spans="1:9">
      <c r="A490" t="s">
        <v>716</v>
      </c>
      <c r="B490" t="s">
        <v>684</v>
      </c>
      <c r="C490" t="s">
        <v>702</v>
      </c>
      <c r="D490" s="1">
        <v>15.9</v>
      </c>
      <c r="E490" s="2">
        <v>5.85</v>
      </c>
      <c r="F490" s="2">
        <v>93.02</v>
      </c>
      <c r="G490" t="s">
        <v>686</v>
      </c>
      <c r="H490" t="s">
        <v>14</v>
      </c>
      <c r="I490" t="s">
        <v>14</v>
      </c>
    </row>
    <row r="491" spans="1:9">
      <c r="A491" t="s">
        <v>717</v>
      </c>
      <c r="B491" t="s">
        <v>684</v>
      </c>
      <c r="C491" t="s">
        <v>706</v>
      </c>
      <c r="D491" s="1">
        <v>15.82</v>
      </c>
      <c r="E491" s="2">
        <v>8.65</v>
      </c>
      <c r="F491" s="2">
        <v>136.84</v>
      </c>
      <c r="G491" t="s">
        <v>686</v>
      </c>
      <c r="H491" t="s">
        <v>14</v>
      </c>
      <c r="I491" t="s">
        <v>14</v>
      </c>
    </row>
    <row r="492" spans="1:9">
      <c r="A492" t="s">
        <v>718</v>
      </c>
      <c r="B492" t="s">
        <v>719</v>
      </c>
      <c r="C492" t="s">
        <v>71</v>
      </c>
      <c r="D492" s="1">
        <v>17.34</v>
      </c>
      <c r="E492" s="2">
        <v>5.85</v>
      </c>
      <c r="F492" s="2">
        <v>101.44</v>
      </c>
      <c r="G492" t="s">
        <v>720</v>
      </c>
      <c r="H492" t="s">
        <v>14</v>
      </c>
      <c r="I492" t="s">
        <v>14</v>
      </c>
    </row>
    <row r="493" spans="1:9">
      <c r="A493" t="s">
        <v>721</v>
      </c>
      <c r="B493" t="s">
        <v>719</v>
      </c>
      <c r="C493" t="s">
        <v>722</v>
      </c>
      <c r="D493" s="1">
        <v>17.31</v>
      </c>
      <c r="E493" s="2">
        <v>5.85</v>
      </c>
      <c r="F493" s="2">
        <v>101.26</v>
      </c>
      <c r="G493" t="s">
        <v>720</v>
      </c>
      <c r="H493" t="s">
        <v>14</v>
      </c>
      <c r="I493" t="s">
        <v>14</v>
      </c>
    </row>
    <row r="494" spans="1:9">
      <c r="A494" t="s">
        <v>723</v>
      </c>
      <c r="B494" t="s">
        <v>719</v>
      </c>
      <c r="C494" t="s">
        <v>71</v>
      </c>
      <c r="D494" s="1">
        <v>17.29</v>
      </c>
      <c r="E494" s="2">
        <v>5.85</v>
      </c>
      <c r="F494" s="2">
        <v>101.15</v>
      </c>
      <c r="G494" t="s">
        <v>720</v>
      </c>
      <c r="H494" t="s">
        <v>14</v>
      </c>
      <c r="I494" t="s">
        <v>14</v>
      </c>
    </row>
    <row r="495" spans="1:9">
      <c r="A495" t="s">
        <v>724</v>
      </c>
      <c r="B495" t="s">
        <v>719</v>
      </c>
      <c r="C495" t="s">
        <v>64</v>
      </c>
      <c r="D495" s="1">
        <v>17.16</v>
      </c>
      <c r="E495" s="2">
        <v>12.9</v>
      </c>
      <c r="F495" s="2">
        <v>221.36</v>
      </c>
      <c r="G495" t="s">
        <v>720</v>
      </c>
      <c r="H495" t="s">
        <v>14</v>
      </c>
      <c r="I495" t="s">
        <v>14</v>
      </c>
    </row>
    <row r="496" spans="1:9">
      <c r="A496" t="s">
        <v>725</v>
      </c>
      <c r="B496" t="s">
        <v>719</v>
      </c>
      <c r="C496" t="s">
        <v>20</v>
      </c>
      <c r="D496" s="1">
        <v>16.17</v>
      </c>
      <c r="E496" s="2">
        <v>5.35</v>
      </c>
      <c r="F496" s="2">
        <v>86.51</v>
      </c>
      <c r="G496" t="s">
        <v>720</v>
      </c>
      <c r="H496" t="s">
        <v>14</v>
      </c>
      <c r="I496" t="s">
        <v>14</v>
      </c>
    </row>
    <row r="497" spans="1:9">
      <c r="A497" t="s">
        <v>726</v>
      </c>
      <c r="B497" t="s">
        <v>719</v>
      </c>
      <c r="C497" t="s">
        <v>18</v>
      </c>
      <c r="D497" s="1">
        <v>17.3</v>
      </c>
      <c r="E497" s="2">
        <v>5.85</v>
      </c>
      <c r="F497" s="2">
        <v>101.2</v>
      </c>
      <c r="G497" t="s">
        <v>720</v>
      </c>
      <c r="H497" t="s">
        <v>14</v>
      </c>
      <c r="I497" t="s">
        <v>14</v>
      </c>
    </row>
    <row r="498" spans="1:9">
      <c r="A498" t="s">
        <v>727</v>
      </c>
      <c r="B498" t="s">
        <v>719</v>
      </c>
      <c r="C498" t="s">
        <v>64</v>
      </c>
      <c r="D498" s="1">
        <v>17.27</v>
      </c>
      <c r="E498" s="2">
        <v>12.9</v>
      </c>
      <c r="F498" s="2">
        <v>222.78</v>
      </c>
      <c r="G498" t="s">
        <v>720</v>
      </c>
      <c r="H498" t="s">
        <v>14</v>
      </c>
      <c r="I498" t="s">
        <v>14</v>
      </c>
    </row>
    <row r="499" spans="1:9">
      <c r="A499" t="s">
        <v>728</v>
      </c>
      <c r="B499" t="s">
        <v>719</v>
      </c>
      <c r="C499" t="s">
        <v>64</v>
      </c>
      <c r="D499" s="1">
        <v>17.04</v>
      </c>
      <c r="E499" s="2">
        <v>12.9</v>
      </c>
      <c r="F499" s="2">
        <v>219.82</v>
      </c>
      <c r="G499" t="s">
        <v>720</v>
      </c>
      <c r="H499" t="s">
        <v>14</v>
      </c>
      <c r="I499" t="s">
        <v>14</v>
      </c>
    </row>
    <row r="500" spans="1:9">
      <c r="A500" t="s">
        <v>729</v>
      </c>
      <c r="B500" t="s">
        <v>719</v>
      </c>
      <c r="C500" t="s">
        <v>27</v>
      </c>
      <c r="D500" s="1">
        <v>17.16</v>
      </c>
      <c r="E500" s="2">
        <v>4.85</v>
      </c>
      <c r="F500" s="2">
        <v>83.23</v>
      </c>
      <c r="G500" t="s">
        <v>720</v>
      </c>
      <c r="H500" t="s">
        <v>14</v>
      </c>
      <c r="I500" t="s">
        <v>14</v>
      </c>
    </row>
    <row r="501" spans="1:9">
      <c r="A501" t="s">
        <v>730</v>
      </c>
      <c r="B501" t="s">
        <v>719</v>
      </c>
      <c r="C501" t="s">
        <v>64</v>
      </c>
      <c r="D501" s="1">
        <v>17.31</v>
      </c>
      <c r="E501" s="2">
        <v>12.9</v>
      </c>
      <c r="F501" s="2">
        <v>223.3</v>
      </c>
      <c r="G501" t="s">
        <v>720</v>
      </c>
      <c r="H501" t="s">
        <v>14</v>
      </c>
      <c r="I501" t="s">
        <v>14</v>
      </c>
    </row>
    <row r="502" spans="1:9">
      <c r="A502" t="s">
        <v>731</v>
      </c>
      <c r="B502" t="s">
        <v>719</v>
      </c>
      <c r="C502" t="s">
        <v>29</v>
      </c>
      <c r="D502" s="1">
        <v>17.44</v>
      </c>
      <c r="E502" s="2">
        <v>4.45</v>
      </c>
      <c r="F502" s="2">
        <v>77.61</v>
      </c>
      <c r="G502" t="s">
        <v>720</v>
      </c>
      <c r="H502" t="s">
        <v>14</v>
      </c>
      <c r="I502" t="s">
        <v>14</v>
      </c>
    </row>
    <row r="503" spans="1:9">
      <c r="A503" t="s">
        <v>732</v>
      </c>
      <c r="B503" t="s">
        <v>719</v>
      </c>
      <c r="C503" t="s">
        <v>545</v>
      </c>
      <c r="D503" s="1">
        <v>17.34</v>
      </c>
      <c r="E503" s="2">
        <v>4.85</v>
      </c>
      <c r="F503" s="2">
        <v>84.1</v>
      </c>
      <c r="G503" t="s">
        <v>720</v>
      </c>
      <c r="H503" t="s">
        <v>14</v>
      </c>
      <c r="I503" t="s">
        <v>14</v>
      </c>
    </row>
    <row r="504" spans="1:9">
      <c r="A504" t="s">
        <v>733</v>
      </c>
      <c r="B504" t="s">
        <v>719</v>
      </c>
      <c r="C504" t="s">
        <v>25</v>
      </c>
      <c r="D504" s="1">
        <v>17.33</v>
      </c>
      <c r="E504" s="2">
        <v>5.85</v>
      </c>
      <c r="F504" s="2">
        <v>101.38</v>
      </c>
      <c r="G504" t="s">
        <v>720</v>
      </c>
      <c r="H504" t="s">
        <v>14</v>
      </c>
      <c r="I504" t="s">
        <v>14</v>
      </c>
    </row>
    <row r="505" spans="1:9">
      <c r="A505" t="s">
        <v>734</v>
      </c>
      <c r="B505" t="s">
        <v>719</v>
      </c>
      <c r="C505" t="s">
        <v>22</v>
      </c>
      <c r="D505" s="1">
        <v>17.4</v>
      </c>
      <c r="E505" s="2">
        <v>4.1</v>
      </c>
      <c r="F505" s="2">
        <v>71.34</v>
      </c>
      <c r="G505" t="s">
        <v>720</v>
      </c>
      <c r="H505" t="s">
        <v>14</v>
      </c>
      <c r="I505" t="s">
        <v>14</v>
      </c>
    </row>
    <row r="506" spans="1:9">
      <c r="A506" t="s">
        <v>735</v>
      </c>
      <c r="B506" t="s">
        <v>719</v>
      </c>
      <c r="C506" t="s">
        <v>29</v>
      </c>
      <c r="D506" s="1">
        <v>17.38</v>
      </c>
      <c r="E506" s="2">
        <v>4.45</v>
      </c>
      <c r="F506" s="2">
        <v>77.34</v>
      </c>
      <c r="G506" t="s">
        <v>720</v>
      </c>
      <c r="H506" t="s">
        <v>14</v>
      </c>
      <c r="I506" t="s">
        <v>14</v>
      </c>
    </row>
    <row r="507" spans="1:9">
      <c r="A507" t="s">
        <v>736</v>
      </c>
      <c r="B507" t="s">
        <v>719</v>
      </c>
      <c r="C507" t="s">
        <v>59</v>
      </c>
      <c r="D507" s="1">
        <v>17.21</v>
      </c>
      <c r="E507" s="2">
        <v>5.05</v>
      </c>
      <c r="F507" s="2">
        <v>86.91</v>
      </c>
      <c r="G507" t="s">
        <v>720</v>
      </c>
      <c r="H507" t="s">
        <v>14</v>
      </c>
      <c r="I507" t="s">
        <v>14</v>
      </c>
    </row>
    <row r="508" spans="1:9">
      <c r="A508" t="s">
        <v>737</v>
      </c>
      <c r="B508" t="s">
        <v>719</v>
      </c>
      <c r="C508" t="s">
        <v>16</v>
      </c>
      <c r="D508" s="1">
        <v>17.24</v>
      </c>
      <c r="E508" s="2">
        <v>4.45</v>
      </c>
      <c r="F508" s="2">
        <v>76.72</v>
      </c>
      <c r="G508" t="s">
        <v>720</v>
      </c>
      <c r="H508" t="s">
        <v>14</v>
      </c>
      <c r="I508" t="s">
        <v>14</v>
      </c>
    </row>
    <row r="509" spans="1:9">
      <c r="A509" t="s">
        <v>738</v>
      </c>
      <c r="B509" t="s">
        <v>719</v>
      </c>
      <c r="C509" t="s">
        <v>64</v>
      </c>
      <c r="D509" s="1">
        <v>17.33</v>
      </c>
      <c r="E509" s="2">
        <v>12.9</v>
      </c>
      <c r="F509" s="2">
        <v>223.56</v>
      </c>
      <c r="G509" t="s">
        <v>720</v>
      </c>
      <c r="H509" t="s">
        <v>14</v>
      </c>
      <c r="I509" t="s">
        <v>14</v>
      </c>
    </row>
    <row r="510" spans="1:9">
      <c r="A510" t="s">
        <v>739</v>
      </c>
      <c r="B510" t="s">
        <v>740</v>
      </c>
      <c r="C510" t="s">
        <v>302</v>
      </c>
      <c r="D510" s="1">
        <v>18.66</v>
      </c>
      <c r="E510" s="2">
        <v>4.1</v>
      </c>
      <c r="F510" s="2">
        <v>76.51</v>
      </c>
      <c r="G510" t="s">
        <v>741</v>
      </c>
      <c r="H510" t="s">
        <v>14</v>
      </c>
      <c r="I510" t="s">
        <v>14</v>
      </c>
    </row>
    <row r="511" spans="1:9">
      <c r="A511" t="s">
        <v>742</v>
      </c>
      <c r="B511" t="s">
        <v>740</v>
      </c>
      <c r="C511" t="s">
        <v>307</v>
      </c>
      <c r="D511" s="1">
        <v>18.65</v>
      </c>
      <c r="E511" s="2">
        <v>3.4</v>
      </c>
      <c r="F511" s="2">
        <v>63.41</v>
      </c>
      <c r="G511" t="s">
        <v>741</v>
      </c>
      <c r="H511" t="s">
        <v>14</v>
      </c>
      <c r="I511" t="s">
        <v>14</v>
      </c>
    </row>
    <row r="512" spans="1:9">
      <c r="A512" t="s">
        <v>743</v>
      </c>
      <c r="B512" t="s">
        <v>740</v>
      </c>
      <c r="C512" t="s">
        <v>744</v>
      </c>
      <c r="D512" s="1">
        <v>18.64</v>
      </c>
      <c r="E512" s="2">
        <v>5.05</v>
      </c>
      <c r="F512" s="2">
        <v>94.13</v>
      </c>
      <c r="G512" t="s">
        <v>741</v>
      </c>
      <c r="H512" t="s">
        <v>14</v>
      </c>
      <c r="I512" t="s">
        <v>14</v>
      </c>
    </row>
    <row r="513" spans="1:9">
      <c r="A513" t="s">
        <v>745</v>
      </c>
      <c r="B513" t="s">
        <v>740</v>
      </c>
      <c r="C513" t="s">
        <v>339</v>
      </c>
      <c r="D513" s="1">
        <v>18.63</v>
      </c>
      <c r="E513" s="2">
        <v>4.1</v>
      </c>
      <c r="F513" s="2">
        <v>76.38</v>
      </c>
      <c r="G513" t="s">
        <v>741</v>
      </c>
      <c r="H513" t="s">
        <v>14</v>
      </c>
      <c r="I513" t="s">
        <v>14</v>
      </c>
    </row>
    <row r="514" spans="1:9">
      <c r="A514" t="s">
        <v>746</v>
      </c>
      <c r="B514" t="s">
        <v>740</v>
      </c>
      <c r="C514" t="s">
        <v>302</v>
      </c>
      <c r="D514" s="1">
        <v>18.63</v>
      </c>
      <c r="E514" s="2">
        <v>4.1</v>
      </c>
      <c r="F514" s="2">
        <v>76.38</v>
      </c>
      <c r="G514" t="s">
        <v>741</v>
      </c>
      <c r="H514" t="s">
        <v>14</v>
      </c>
      <c r="I514" t="s">
        <v>14</v>
      </c>
    </row>
    <row r="515" spans="1:9">
      <c r="A515" t="s">
        <v>747</v>
      </c>
      <c r="B515" t="s">
        <v>740</v>
      </c>
      <c r="C515" t="s">
        <v>305</v>
      </c>
      <c r="D515" s="1">
        <v>18.66</v>
      </c>
      <c r="E515" s="2">
        <v>5.35</v>
      </c>
      <c r="F515" s="2">
        <v>99.83</v>
      </c>
      <c r="G515" t="s">
        <v>741</v>
      </c>
      <c r="H515" t="s">
        <v>14</v>
      </c>
      <c r="I515" t="s">
        <v>14</v>
      </c>
    </row>
    <row r="516" spans="1:9">
      <c r="A516" t="s">
        <v>748</v>
      </c>
      <c r="B516" t="s">
        <v>740</v>
      </c>
      <c r="C516" t="s">
        <v>311</v>
      </c>
      <c r="D516" s="1">
        <v>18.64</v>
      </c>
      <c r="E516" s="2">
        <v>3.4</v>
      </c>
      <c r="F516" s="2">
        <v>63.38</v>
      </c>
      <c r="G516" t="s">
        <v>741</v>
      </c>
      <c r="H516" t="s">
        <v>14</v>
      </c>
      <c r="I516" t="s">
        <v>14</v>
      </c>
    </row>
    <row r="517" spans="1:9">
      <c r="A517" t="s">
        <v>749</v>
      </c>
      <c r="B517" t="s">
        <v>740</v>
      </c>
      <c r="C517" t="s">
        <v>318</v>
      </c>
      <c r="D517" s="1">
        <v>18.64</v>
      </c>
      <c r="E517" s="2">
        <v>4.1</v>
      </c>
      <c r="F517" s="2">
        <v>76.42</v>
      </c>
      <c r="G517" t="s">
        <v>741</v>
      </c>
      <c r="H517" t="s">
        <v>14</v>
      </c>
      <c r="I517" t="s">
        <v>14</v>
      </c>
    </row>
    <row r="518" spans="1:9">
      <c r="A518" t="s">
        <v>750</v>
      </c>
      <c r="B518" t="s">
        <v>740</v>
      </c>
      <c r="C518" t="s">
        <v>320</v>
      </c>
      <c r="D518" s="1">
        <v>18.58</v>
      </c>
      <c r="E518" s="2">
        <v>4.1</v>
      </c>
      <c r="F518" s="2">
        <v>76.18</v>
      </c>
      <c r="G518" t="s">
        <v>741</v>
      </c>
      <c r="H518" t="s">
        <v>14</v>
      </c>
      <c r="I518" t="s">
        <v>14</v>
      </c>
    </row>
    <row r="519" spans="1:9">
      <c r="A519" t="s">
        <v>751</v>
      </c>
      <c r="B519" t="s">
        <v>740</v>
      </c>
      <c r="C519" t="s">
        <v>752</v>
      </c>
      <c r="D519" s="1">
        <v>18.6</v>
      </c>
      <c r="E519" s="2">
        <v>4.1</v>
      </c>
      <c r="F519" s="2">
        <v>76.26</v>
      </c>
      <c r="G519" t="s">
        <v>741</v>
      </c>
      <c r="H519" t="s">
        <v>14</v>
      </c>
      <c r="I519" t="s">
        <v>14</v>
      </c>
    </row>
    <row r="520" spans="1:9">
      <c r="A520" t="s">
        <v>753</v>
      </c>
      <c r="B520" t="s">
        <v>740</v>
      </c>
      <c r="C520" t="s">
        <v>333</v>
      </c>
      <c r="D520" s="1">
        <v>18.56</v>
      </c>
      <c r="E520" s="2">
        <v>4.85</v>
      </c>
      <c r="F520" s="2">
        <v>90.02</v>
      </c>
      <c r="G520" t="s">
        <v>741</v>
      </c>
      <c r="H520" t="s">
        <v>14</v>
      </c>
      <c r="I520" t="s">
        <v>14</v>
      </c>
    </row>
    <row r="521" spans="1:9">
      <c r="A521" t="s">
        <v>754</v>
      </c>
      <c r="B521" t="s">
        <v>740</v>
      </c>
      <c r="C521" t="s">
        <v>755</v>
      </c>
      <c r="D521" s="1">
        <v>18.57</v>
      </c>
      <c r="E521" s="2">
        <v>4.85</v>
      </c>
      <c r="F521" s="2">
        <v>90.06</v>
      </c>
      <c r="G521" t="s">
        <v>741</v>
      </c>
      <c r="H521" t="s">
        <v>14</v>
      </c>
      <c r="I521" t="s">
        <v>14</v>
      </c>
    </row>
    <row r="522" spans="1:9">
      <c r="A522" t="s">
        <v>756</v>
      </c>
      <c r="B522" t="s">
        <v>740</v>
      </c>
      <c r="C522" t="s">
        <v>326</v>
      </c>
      <c r="D522" s="1">
        <v>18.65</v>
      </c>
      <c r="E522" s="2">
        <v>3.4</v>
      </c>
      <c r="F522" s="2">
        <v>63.41</v>
      </c>
      <c r="G522" t="s">
        <v>741</v>
      </c>
      <c r="H522" t="s">
        <v>14</v>
      </c>
      <c r="I522" t="s">
        <v>14</v>
      </c>
    </row>
    <row r="523" spans="1:9">
      <c r="A523" t="s">
        <v>757</v>
      </c>
      <c r="B523" t="s">
        <v>740</v>
      </c>
      <c r="C523" t="s">
        <v>315</v>
      </c>
      <c r="D523" s="1">
        <v>18.74</v>
      </c>
      <c r="E523" s="2">
        <v>5.6</v>
      </c>
      <c r="F523" s="2">
        <v>104.94</v>
      </c>
      <c r="G523" t="s">
        <v>741</v>
      </c>
      <c r="H523" t="s">
        <v>14</v>
      </c>
      <c r="I523" t="s">
        <v>14</v>
      </c>
    </row>
    <row r="524" spans="1:9">
      <c r="A524" t="s">
        <v>758</v>
      </c>
      <c r="B524" t="s">
        <v>740</v>
      </c>
      <c r="C524" t="s">
        <v>318</v>
      </c>
      <c r="D524" s="1">
        <v>18.65</v>
      </c>
      <c r="E524" s="2">
        <v>4.1</v>
      </c>
      <c r="F524" s="2">
        <v>76.46</v>
      </c>
      <c r="G524" t="s">
        <v>741</v>
      </c>
      <c r="H524" t="s">
        <v>14</v>
      </c>
      <c r="I524" t="s">
        <v>14</v>
      </c>
    </row>
    <row r="525" spans="1:9">
      <c r="A525" t="s">
        <v>759</v>
      </c>
      <c r="B525" t="s">
        <v>740</v>
      </c>
      <c r="C525" t="s">
        <v>318</v>
      </c>
      <c r="D525" s="1">
        <v>18.65</v>
      </c>
      <c r="E525" s="2">
        <v>4.1</v>
      </c>
      <c r="F525" s="2">
        <v>76.46</v>
      </c>
      <c r="G525" t="s">
        <v>741</v>
      </c>
      <c r="H525" t="s">
        <v>14</v>
      </c>
      <c r="I525" t="s">
        <v>14</v>
      </c>
    </row>
    <row r="526" spans="1:9">
      <c r="A526" t="s">
        <v>760</v>
      </c>
      <c r="B526" t="s">
        <v>740</v>
      </c>
      <c r="C526" t="s">
        <v>326</v>
      </c>
      <c r="D526" s="1">
        <v>18.63</v>
      </c>
      <c r="E526" s="2">
        <v>3.4</v>
      </c>
      <c r="F526" s="2">
        <v>63.34</v>
      </c>
      <c r="G526" t="s">
        <v>741</v>
      </c>
      <c r="H526" t="s">
        <v>14</v>
      </c>
      <c r="I526" t="s">
        <v>14</v>
      </c>
    </row>
    <row r="527" spans="1:9">
      <c r="A527" t="s">
        <v>761</v>
      </c>
      <c r="B527" t="s">
        <v>740</v>
      </c>
      <c r="C527" t="s">
        <v>315</v>
      </c>
      <c r="D527" s="1">
        <v>18.72</v>
      </c>
      <c r="E527" s="2">
        <v>5.6</v>
      </c>
      <c r="F527" s="2">
        <v>104.83</v>
      </c>
      <c r="G527" t="s">
        <v>741</v>
      </c>
      <c r="H527" t="s">
        <v>14</v>
      </c>
      <c r="I527" t="s">
        <v>14</v>
      </c>
    </row>
    <row r="528" spans="1:9">
      <c r="A528" t="s">
        <v>762</v>
      </c>
      <c r="B528" t="s">
        <v>740</v>
      </c>
      <c r="C528" t="s">
        <v>307</v>
      </c>
      <c r="D528" s="1">
        <v>18.57</v>
      </c>
      <c r="E528" s="2">
        <v>3.4</v>
      </c>
      <c r="F528" s="2">
        <v>63.14</v>
      </c>
      <c r="G528" t="s">
        <v>741</v>
      </c>
      <c r="H528" t="s">
        <v>14</v>
      </c>
      <c r="I528" t="s">
        <v>14</v>
      </c>
    </row>
    <row r="529" spans="1:9">
      <c r="A529" t="s">
        <v>763</v>
      </c>
      <c r="B529" t="s">
        <v>740</v>
      </c>
      <c r="C529" t="s">
        <v>318</v>
      </c>
      <c r="D529" s="1">
        <v>18.57</v>
      </c>
      <c r="E529" s="2">
        <v>4.1</v>
      </c>
      <c r="F529" s="2">
        <v>76.14</v>
      </c>
      <c r="G529" t="s">
        <v>741</v>
      </c>
      <c r="H529" t="s">
        <v>14</v>
      </c>
      <c r="I529" t="s">
        <v>14</v>
      </c>
    </row>
    <row r="530" spans="1:9">
      <c r="A530" t="s">
        <v>764</v>
      </c>
      <c r="B530" t="s">
        <v>740</v>
      </c>
      <c r="C530" t="s">
        <v>326</v>
      </c>
      <c r="D530" s="1">
        <v>18.29</v>
      </c>
      <c r="E530" s="2">
        <v>3.4</v>
      </c>
      <c r="F530" s="2">
        <v>62.19</v>
      </c>
      <c r="G530" t="s">
        <v>741</v>
      </c>
      <c r="H530" t="s">
        <v>14</v>
      </c>
      <c r="I530" t="s">
        <v>14</v>
      </c>
    </row>
    <row r="531" spans="1:9">
      <c r="A531" t="s">
        <v>765</v>
      </c>
      <c r="B531" t="s">
        <v>766</v>
      </c>
      <c r="C531" t="s">
        <v>767</v>
      </c>
      <c r="D531" s="1">
        <v>22.31</v>
      </c>
      <c r="E531" s="2">
        <v>5.35</v>
      </c>
      <c r="F531" s="2">
        <v>119.36</v>
      </c>
      <c r="G531" t="s">
        <v>768</v>
      </c>
      <c r="H531" t="s">
        <v>14</v>
      </c>
      <c r="I531" t="s">
        <v>14</v>
      </c>
    </row>
    <row r="532" spans="1:9">
      <c r="A532" t="s">
        <v>769</v>
      </c>
      <c r="B532" t="s">
        <v>770</v>
      </c>
      <c r="C532" t="s">
        <v>579</v>
      </c>
      <c r="D532" s="1">
        <v>18.95</v>
      </c>
      <c r="E532" s="2">
        <v>9.4</v>
      </c>
      <c r="F532" s="2">
        <v>178.13</v>
      </c>
      <c r="G532" t="s">
        <v>771</v>
      </c>
      <c r="H532" t="s">
        <v>14</v>
      </c>
      <c r="I532" t="s">
        <v>14</v>
      </c>
    </row>
    <row r="533" spans="1:9">
      <c r="A533" t="s">
        <v>772</v>
      </c>
      <c r="B533" t="s">
        <v>770</v>
      </c>
      <c r="C533" t="s">
        <v>71</v>
      </c>
      <c r="D533" s="1">
        <v>18.92</v>
      </c>
      <c r="E533" s="2">
        <v>5.85</v>
      </c>
      <c r="F533" s="2">
        <v>110.68</v>
      </c>
      <c r="G533" t="s">
        <v>771</v>
      </c>
      <c r="H533" t="s">
        <v>14</v>
      </c>
      <c r="I533" t="s">
        <v>14</v>
      </c>
    </row>
    <row r="534" spans="1:9">
      <c r="A534" t="s">
        <v>773</v>
      </c>
      <c r="B534" t="s">
        <v>770</v>
      </c>
      <c r="C534" t="s">
        <v>71</v>
      </c>
      <c r="D534" s="1">
        <v>18.9</v>
      </c>
      <c r="E534" s="2">
        <v>5.85</v>
      </c>
      <c r="F534" s="2">
        <v>110.56</v>
      </c>
      <c r="G534" t="s">
        <v>771</v>
      </c>
      <c r="H534" t="s">
        <v>14</v>
      </c>
      <c r="I534" t="s">
        <v>14</v>
      </c>
    </row>
    <row r="535" spans="1:9">
      <c r="A535" t="s">
        <v>774</v>
      </c>
      <c r="B535" t="s">
        <v>770</v>
      </c>
      <c r="C535" t="s">
        <v>77</v>
      </c>
      <c r="D535" s="1">
        <v>19.32</v>
      </c>
      <c r="E535" s="2">
        <v>3.6</v>
      </c>
      <c r="F535" s="2">
        <v>69.55</v>
      </c>
      <c r="G535" t="s">
        <v>771</v>
      </c>
      <c r="H535" t="s">
        <v>14</v>
      </c>
      <c r="I535" t="s">
        <v>14</v>
      </c>
    </row>
    <row r="536" spans="1:9">
      <c r="A536" t="s">
        <v>775</v>
      </c>
      <c r="B536" t="s">
        <v>770</v>
      </c>
      <c r="C536" t="s">
        <v>102</v>
      </c>
      <c r="D536" s="1">
        <v>19.2</v>
      </c>
      <c r="E536" s="2">
        <v>4.45</v>
      </c>
      <c r="F536" s="2">
        <v>85.44</v>
      </c>
      <c r="G536" t="s">
        <v>771</v>
      </c>
      <c r="H536" t="s">
        <v>14</v>
      </c>
      <c r="I536" t="s">
        <v>14</v>
      </c>
    </row>
    <row r="537" spans="1:9">
      <c r="A537" t="s">
        <v>776</v>
      </c>
      <c r="B537" t="s">
        <v>770</v>
      </c>
      <c r="C537" t="s">
        <v>77</v>
      </c>
      <c r="D537" s="1">
        <v>19.3</v>
      </c>
      <c r="E537" s="2">
        <v>3.6</v>
      </c>
      <c r="F537" s="2">
        <v>69.48</v>
      </c>
      <c r="G537" t="s">
        <v>771</v>
      </c>
      <c r="H537" t="s">
        <v>14</v>
      </c>
      <c r="I537" t="s">
        <v>14</v>
      </c>
    </row>
    <row r="538" spans="1:9">
      <c r="A538" t="s">
        <v>777</v>
      </c>
      <c r="B538" t="s">
        <v>770</v>
      </c>
      <c r="C538" t="s">
        <v>98</v>
      </c>
      <c r="D538" s="1">
        <v>19.25</v>
      </c>
      <c r="E538" s="2">
        <v>5.45</v>
      </c>
      <c r="F538" s="2">
        <v>104.91</v>
      </c>
      <c r="G538" t="s">
        <v>771</v>
      </c>
      <c r="H538" t="s">
        <v>14</v>
      </c>
      <c r="I538" t="s">
        <v>14</v>
      </c>
    </row>
    <row r="539" spans="1:9">
      <c r="A539" t="s">
        <v>778</v>
      </c>
      <c r="B539" t="s">
        <v>770</v>
      </c>
      <c r="C539" t="s">
        <v>77</v>
      </c>
      <c r="D539" s="1">
        <v>19.19</v>
      </c>
      <c r="E539" s="2">
        <v>3.6</v>
      </c>
      <c r="F539" s="2">
        <v>69.08</v>
      </c>
      <c r="G539" t="s">
        <v>771</v>
      </c>
      <c r="H539" t="s">
        <v>14</v>
      </c>
      <c r="I539" t="s">
        <v>14</v>
      </c>
    </row>
    <row r="540" spans="1:9">
      <c r="A540" t="s">
        <v>779</v>
      </c>
      <c r="B540" t="s">
        <v>770</v>
      </c>
      <c r="C540" t="s">
        <v>84</v>
      </c>
      <c r="D540" s="1">
        <v>19.31</v>
      </c>
      <c r="E540" s="2">
        <v>6.3</v>
      </c>
      <c r="F540" s="2">
        <v>121.65</v>
      </c>
      <c r="G540" t="s">
        <v>771</v>
      </c>
      <c r="H540" t="s">
        <v>14</v>
      </c>
      <c r="I540" t="s">
        <v>14</v>
      </c>
    </row>
    <row r="541" spans="1:9">
      <c r="A541" t="s">
        <v>780</v>
      </c>
      <c r="B541" t="s">
        <v>770</v>
      </c>
      <c r="C541" t="s">
        <v>781</v>
      </c>
      <c r="D541" s="1">
        <v>19.26</v>
      </c>
      <c r="E541" s="2">
        <v>3.85</v>
      </c>
      <c r="F541" s="2">
        <v>74.15</v>
      </c>
      <c r="G541" t="s">
        <v>771</v>
      </c>
      <c r="H541" t="s">
        <v>14</v>
      </c>
      <c r="I541" t="s">
        <v>14</v>
      </c>
    </row>
    <row r="542" spans="1:9">
      <c r="A542" t="s">
        <v>782</v>
      </c>
      <c r="B542" t="s">
        <v>770</v>
      </c>
      <c r="C542" t="s">
        <v>106</v>
      </c>
      <c r="D542" s="1">
        <v>19.3</v>
      </c>
      <c r="E542" s="2">
        <v>4.45</v>
      </c>
      <c r="F542" s="2">
        <v>85.88</v>
      </c>
      <c r="G542" t="s">
        <v>771</v>
      </c>
      <c r="H542" t="s">
        <v>14</v>
      </c>
      <c r="I542" t="s">
        <v>14</v>
      </c>
    </row>
    <row r="543" spans="1:9">
      <c r="A543" t="s">
        <v>783</v>
      </c>
      <c r="B543" t="s">
        <v>770</v>
      </c>
      <c r="C543" t="s">
        <v>90</v>
      </c>
      <c r="D543" s="1">
        <v>19.27</v>
      </c>
      <c r="E543" s="2">
        <v>3.6</v>
      </c>
      <c r="F543" s="2">
        <v>69.37</v>
      </c>
      <c r="G543" t="s">
        <v>771</v>
      </c>
      <c r="H543" t="s">
        <v>14</v>
      </c>
      <c r="I543" t="s">
        <v>14</v>
      </c>
    </row>
    <row r="544" spans="1:9">
      <c r="A544" t="s">
        <v>784</v>
      </c>
      <c r="B544" t="s">
        <v>770</v>
      </c>
      <c r="C544" t="s">
        <v>94</v>
      </c>
      <c r="D544" s="1">
        <v>19.36</v>
      </c>
      <c r="E544" s="2">
        <v>3.6</v>
      </c>
      <c r="F544" s="2">
        <v>69.7</v>
      </c>
      <c r="G544" t="s">
        <v>771</v>
      </c>
      <c r="H544" t="s">
        <v>14</v>
      </c>
      <c r="I544" t="s">
        <v>14</v>
      </c>
    </row>
    <row r="545" spans="1:9">
      <c r="A545" t="s">
        <v>785</v>
      </c>
      <c r="B545" t="s">
        <v>770</v>
      </c>
      <c r="C545" t="s">
        <v>617</v>
      </c>
      <c r="D545" s="1">
        <v>19.38</v>
      </c>
      <c r="E545" s="2">
        <v>4.85</v>
      </c>
      <c r="F545" s="2">
        <v>93.99</v>
      </c>
      <c r="G545" t="s">
        <v>771</v>
      </c>
      <c r="H545" t="s">
        <v>14</v>
      </c>
      <c r="I545" t="s">
        <v>14</v>
      </c>
    </row>
    <row r="546" spans="1:9">
      <c r="A546" t="s">
        <v>786</v>
      </c>
      <c r="B546" t="s">
        <v>770</v>
      </c>
      <c r="C546" t="s">
        <v>77</v>
      </c>
      <c r="D546" s="1">
        <v>19.36</v>
      </c>
      <c r="E546" s="2">
        <v>3.6</v>
      </c>
      <c r="F546" s="2">
        <v>69.7</v>
      </c>
      <c r="G546" t="s">
        <v>771</v>
      </c>
      <c r="H546" t="s">
        <v>14</v>
      </c>
      <c r="I546" t="s">
        <v>14</v>
      </c>
    </row>
    <row r="547" spans="1:9">
      <c r="A547" t="s">
        <v>787</v>
      </c>
      <c r="B547" t="s">
        <v>770</v>
      </c>
      <c r="C547" t="s">
        <v>108</v>
      </c>
      <c r="D547" s="1">
        <v>19.72</v>
      </c>
      <c r="E547" s="2">
        <v>5.6</v>
      </c>
      <c r="F547" s="2">
        <v>110.43</v>
      </c>
      <c r="G547" t="s">
        <v>771</v>
      </c>
      <c r="H547" t="s">
        <v>14</v>
      </c>
      <c r="I547" t="s">
        <v>14</v>
      </c>
    </row>
    <row r="548" spans="1:9">
      <c r="A548" t="s">
        <v>788</v>
      </c>
      <c r="B548" t="s">
        <v>770</v>
      </c>
      <c r="C548" t="s">
        <v>139</v>
      </c>
      <c r="D548" s="1">
        <v>19.79</v>
      </c>
      <c r="E548" s="2">
        <v>3.6</v>
      </c>
      <c r="F548" s="2">
        <v>71.24</v>
      </c>
      <c r="G548" t="s">
        <v>771</v>
      </c>
      <c r="H548" t="s">
        <v>14</v>
      </c>
      <c r="I548" t="s">
        <v>14</v>
      </c>
    </row>
    <row r="549" spans="1:9">
      <c r="A549" t="s">
        <v>789</v>
      </c>
      <c r="B549" t="s">
        <v>770</v>
      </c>
      <c r="C549" t="s">
        <v>108</v>
      </c>
      <c r="D549" s="1">
        <v>19.83</v>
      </c>
      <c r="E549" s="2">
        <v>5.6</v>
      </c>
      <c r="F549" s="2">
        <v>111.05</v>
      </c>
      <c r="G549" t="s">
        <v>771</v>
      </c>
      <c r="H549" t="s">
        <v>14</v>
      </c>
      <c r="I549" t="s">
        <v>14</v>
      </c>
    </row>
    <row r="550" spans="1:9">
      <c r="A550" t="s">
        <v>790</v>
      </c>
      <c r="B550" t="s">
        <v>770</v>
      </c>
      <c r="C550" t="s">
        <v>144</v>
      </c>
      <c r="D550" s="1">
        <v>19.62</v>
      </c>
      <c r="E550" s="2">
        <v>6.3</v>
      </c>
      <c r="F550" s="2">
        <v>123.61</v>
      </c>
      <c r="G550" t="s">
        <v>771</v>
      </c>
      <c r="H550" t="s">
        <v>14</v>
      </c>
      <c r="I550" t="s">
        <v>14</v>
      </c>
    </row>
    <row r="551" spans="1:9">
      <c r="A551" t="s">
        <v>791</v>
      </c>
      <c r="B551" t="s">
        <v>770</v>
      </c>
      <c r="C551" t="s">
        <v>94</v>
      </c>
      <c r="D551" s="1">
        <v>19.83</v>
      </c>
      <c r="E551" s="2">
        <v>3.6</v>
      </c>
      <c r="F551" s="2">
        <v>71.39</v>
      </c>
      <c r="G551" t="s">
        <v>771</v>
      </c>
      <c r="H551" t="s">
        <v>14</v>
      </c>
      <c r="I551" t="s">
        <v>14</v>
      </c>
    </row>
    <row r="552" spans="1:9">
      <c r="A552" t="s">
        <v>792</v>
      </c>
      <c r="B552" t="s">
        <v>770</v>
      </c>
      <c r="C552" t="s">
        <v>793</v>
      </c>
      <c r="D552" s="1">
        <v>19.69</v>
      </c>
      <c r="E552" s="2">
        <v>5.05</v>
      </c>
      <c r="F552" s="2">
        <v>99.43</v>
      </c>
      <c r="G552" t="s">
        <v>771</v>
      </c>
      <c r="H552" t="s">
        <v>14</v>
      </c>
      <c r="I552" t="s">
        <v>14</v>
      </c>
    </row>
    <row r="553" spans="1:9">
      <c r="A553" t="s">
        <v>794</v>
      </c>
      <c r="B553" t="s">
        <v>770</v>
      </c>
      <c r="C553" t="s">
        <v>110</v>
      </c>
      <c r="D553" s="1">
        <v>19.65</v>
      </c>
      <c r="E553" s="2">
        <v>6.1</v>
      </c>
      <c r="F553" s="2">
        <v>119.86</v>
      </c>
      <c r="G553" t="s">
        <v>771</v>
      </c>
      <c r="H553" t="s">
        <v>14</v>
      </c>
      <c r="I553" t="s">
        <v>14</v>
      </c>
    </row>
    <row r="554" spans="1:9">
      <c r="A554" t="s">
        <v>795</v>
      </c>
      <c r="B554" t="s">
        <v>770</v>
      </c>
      <c r="C554" t="s">
        <v>108</v>
      </c>
      <c r="D554" s="1">
        <v>19.73</v>
      </c>
      <c r="E554" s="2">
        <v>5.6</v>
      </c>
      <c r="F554" s="2">
        <v>110.49</v>
      </c>
      <c r="G554" t="s">
        <v>771</v>
      </c>
      <c r="H554" t="s">
        <v>14</v>
      </c>
      <c r="I554" t="s">
        <v>14</v>
      </c>
    </row>
    <row r="555" spans="1:9">
      <c r="A555" t="s">
        <v>796</v>
      </c>
      <c r="B555" t="s">
        <v>770</v>
      </c>
      <c r="C555" t="s">
        <v>106</v>
      </c>
      <c r="D555" s="1">
        <v>19.76</v>
      </c>
      <c r="E555" s="2">
        <v>4.45</v>
      </c>
      <c r="F555" s="2">
        <v>87.93</v>
      </c>
      <c r="G555" t="s">
        <v>771</v>
      </c>
      <c r="H555" t="s">
        <v>14</v>
      </c>
      <c r="I555" t="s">
        <v>14</v>
      </c>
    </row>
    <row r="556" spans="1:9">
      <c r="A556" t="s">
        <v>797</v>
      </c>
      <c r="B556" t="s">
        <v>770</v>
      </c>
      <c r="C556" t="s">
        <v>144</v>
      </c>
      <c r="D556" s="1">
        <v>19.69</v>
      </c>
      <c r="E556" s="2">
        <v>6.3</v>
      </c>
      <c r="F556" s="2">
        <v>124.05</v>
      </c>
      <c r="G556" t="s">
        <v>771</v>
      </c>
      <c r="H556" t="s">
        <v>14</v>
      </c>
      <c r="I556" t="s">
        <v>14</v>
      </c>
    </row>
    <row r="557" spans="1:9">
      <c r="A557" t="s">
        <v>798</v>
      </c>
      <c r="B557" t="s">
        <v>770</v>
      </c>
      <c r="C557" t="s">
        <v>799</v>
      </c>
      <c r="D557" s="1">
        <v>19.12</v>
      </c>
      <c r="E557" s="2">
        <v>3.6</v>
      </c>
      <c r="F557" s="2">
        <v>68.83</v>
      </c>
      <c r="G557" t="s">
        <v>771</v>
      </c>
      <c r="H557" t="s">
        <v>14</v>
      </c>
      <c r="I557" t="s">
        <v>14</v>
      </c>
    </row>
    <row r="558" spans="1:9">
      <c r="A558" t="s">
        <v>800</v>
      </c>
      <c r="B558" t="s">
        <v>770</v>
      </c>
      <c r="C558" t="s">
        <v>801</v>
      </c>
      <c r="D558" s="1">
        <v>19.36</v>
      </c>
      <c r="E558" s="2">
        <v>5.6</v>
      </c>
      <c r="F558" s="2">
        <v>108.42</v>
      </c>
      <c r="G558" t="s">
        <v>771</v>
      </c>
      <c r="H558" t="s">
        <v>14</v>
      </c>
      <c r="I558" t="s">
        <v>14</v>
      </c>
    </row>
    <row r="559" spans="1:9">
      <c r="A559" t="s">
        <v>802</v>
      </c>
      <c r="B559" t="s">
        <v>770</v>
      </c>
      <c r="C559" t="s">
        <v>161</v>
      </c>
      <c r="D559" s="1">
        <v>19.12</v>
      </c>
      <c r="E559" s="2">
        <v>4.85</v>
      </c>
      <c r="F559" s="2">
        <v>92.73</v>
      </c>
      <c r="G559" t="s">
        <v>771</v>
      </c>
      <c r="H559" t="s">
        <v>14</v>
      </c>
      <c r="I559" t="s">
        <v>14</v>
      </c>
    </row>
    <row r="560" spans="1:9">
      <c r="A560" t="s">
        <v>803</v>
      </c>
      <c r="B560" t="s">
        <v>770</v>
      </c>
      <c r="C560" t="s">
        <v>666</v>
      </c>
      <c r="D560" s="1">
        <v>19.15</v>
      </c>
      <c r="E560" s="2">
        <v>5.85</v>
      </c>
      <c r="F560" s="2">
        <v>112.03</v>
      </c>
      <c r="G560" t="s">
        <v>771</v>
      </c>
      <c r="H560" t="s">
        <v>14</v>
      </c>
      <c r="I560" t="s">
        <v>14</v>
      </c>
    </row>
    <row r="561" spans="1:9">
      <c r="A561" t="s">
        <v>804</v>
      </c>
      <c r="B561" t="s">
        <v>770</v>
      </c>
      <c r="C561" t="s">
        <v>805</v>
      </c>
      <c r="D561" s="1">
        <v>19.22</v>
      </c>
      <c r="E561" s="2">
        <v>4.3</v>
      </c>
      <c r="F561" s="2">
        <v>82.65</v>
      </c>
      <c r="G561" t="s">
        <v>771</v>
      </c>
      <c r="H561" t="s">
        <v>14</v>
      </c>
      <c r="I561" t="s">
        <v>14</v>
      </c>
    </row>
    <row r="562" spans="1:9">
      <c r="A562" t="s">
        <v>806</v>
      </c>
      <c r="B562" t="s">
        <v>770</v>
      </c>
      <c r="C562" t="s">
        <v>168</v>
      </c>
      <c r="D562" s="1">
        <v>19.27</v>
      </c>
      <c r="E562" s="2">
        <v>5.85</v>
      </c>
      <c r="F562" s="2">
        <v>112.73</v>
      </c>
      <c r="G562" t="s">
        <v>771</v>
      </c>
      <c r="H562" t="s">
        <v>14</v>
      </c>
      <c r="I562" t="s">
        <v>14</v>
      </c>
    </row>
    <row r="563" spans="1:9">
      <c r="A563" t="s">
        <v>807</v>
      </c>
      <c r="B563" t="s">
        <v>770</v>
      </c>
      <c r="C563" t="s">
        <v>170</v>
      </c>
      <c r="D563" s="1">
        <v>19.23</v>
      </c>
      <c r="E563" s="2">
        <v>5.85</v>
      </c>
      <c r="F563" s="2">
        <v>112.5</v>
      </c>
      <c r="G563" t="s">
        <v>771</v>
      </c>
      <c r="H563" t="s">
        <v>14</v>
      </c>
      <c r="I563" t="s">
        <v>14</v>
      </c>
    </row>
    <row r="564" spans="1:9">
      <c r="A564" t="s">
        <v>808</v>
      </c>
      <c r="B564" t="s">
        <v>770</v>
      </c>
      <c r="C564" t="s">
        <v>805</v>
      </c>
      <c r="D564" s="1">
        <v>19.19</v>
      </c>
      <c r="E564" s="2">
        <v>4.3</v>
      </c>
      <c r="F564" s="2">
        <v>82.52</v>
      </c>
      <c r="G564" t="s">
        <v>771</v>
      </c>
      <c r="H564" t="s">
        <v>14</v>
      </c>
      <c r="I564" t="s">
        <v>14</v>
      </c>
    </row>
    <row r="565" spans="1:9">
      <c r="A565" t="s">
        <v>809</v>
      </c>
      <c r="B565" t="s">
        <v>810</v>
      </c>
      <c r="C565" t="s">
        <v>68</v>
      </c>
      <c r="D565" s="1">
        <v>19.16</v>
      </c>
      <c r="E565" s="2">
        <v>6.85</v>
      </c>
      <c r="F565" s="2">
        <v>131.25</v>
      </c>
      <c r="G565" t="s">
        <v>811</v>
      </c>
      <c r="H565" t="s">
        <v>14</v>
      </c>
      <c r="I565" t="s">
        <v>14</v>
      </c>
    </row>
    <row r="566" spans="1:9">
      <c r="A566" t="s">
        <v>812</v>
      </c>
      <c r="B566" t="s">
        <v>810</v>
      </c>
      <c r="C566" t="s">
        <v>583</v>
      </c>
      <c r="D566" s="1">
        <v>19.11</v>
      </c>
      <c r="E566" s="2">
        <v>4.1</v>
      </c>
      <c r="F566" s="2">
        <v>78.35</v>
      </c>
      <c r="G566" t="s">
        <v>811</v>
      </c>
      <c r="H566" t="s">
        <v>14</v>
      </c>
      <c r="I566" t="s">
        <v>14</v>
      </c>
    </row>
    <row r="567" spans="1:9">
      <c r="A567" t="s">
        <v>813</v>
      </c>
      <c r="B567" t="s">
        <v>810</v>
      </c>
      <c r="C567" t="s">
        <v>571</v>
      </c>
      <c r="D567" s="1">
        <v>19.14</v>
      </c>
      <c r="E567" s="2">
        <v>3.4</v>
      </c>
      <c r="F567" s="2">
        <v>65.08</v>
      </c>
      <c r="G567" t="s">
        <v>811</v>
      </c>
      <c r="H567" t="s">
        <v>14</v>
      </c>
      <c r="I567" t="s">
        <v>14</v>
      </c>
    </row>
    <row r="568" spans="1:9">
      <c r="A568" t="s">
        <v>814</v>
      </c>
      <c r="B568" t="s">
        <v>810</v>
      </c>
      <c r="C568" t="s">
        <v>571</v>
      </c>
      <c r="D568" s="1">
        <v>19.05</v>
      </c>
      <c r="E568" s="2">
        <v>3.4</v>
      </c>
      <c r="F568" s="2">
        <v>64.77</v>
      </c>
      <c r="G568" t="s">
        <v>811</v>
      </c>
      <c r="H568" t="s">
        <v>14</v>
      </c>
      <c r="I568" t="s">
        <v>14</v>
      </c>
    </row>
    <row r="569" spans="1:9">
      <c r="A569" t="s">
        <v>815</v>
      </c>
      <c r="B569" t="s">
        <v>810</v>
      </c>
      <c r="C569" t="s">
        <v>574</v>
      </c>
      <c r="D569" s="1">
        <v>18.69</v>
      </c>
      <c r="E569" s="2">
        <v>7.4</v>
      </c>
      <c r="F569" s="2">
        <v>138.31</v>
      </c>
      <c r="G569" t="s">
        <v>811</v>
      </c>
      <c r="H569" t="s">
        <v>14</v>
      </c>
      <c r="I569" t="s">
        <v>14</v>
      </c>
    </row>
    <row r="570" spans="1:9">
      <c r="A570" t="s">
        <v>816</v>
      </c>
      <c r="B570" t="s">
        <v>810</v>
      </c>
      <c r="C570" t="s">
        <v>817</v>
      </c>
      <c r="D570" s="1">
        <v>19.13</v>
      </c>
      <c r="E570" s="2">
        <v>4.3</v>
      </c>
      <c r="F570" s="2">
        <v>82.26</v>
      </c>
      <c r="G570" t="s">
        <v>811</v>
      </c>
      <c r="H570" t="s">
        <v>14</v>
      </c>
      <c r="I570" t="s">
        <v>14</v>
      </c>
    </row>
    <row r="571" spans="1:9">
      <c r="A571" t="s">
        <v>818</v>
      </c>
      <c r="B571" t="s">
        <v>810</v>
      </c>
      <c r="C571" t="s">
        <v>592</v>
      </c>
      <c r="D571" s="1">
        <v>19.05</v>
      </c>
      <c r="E571" s="2">
        <v>4.45</v>
      </c>
      <c r="F571" s="2">
        <v>84.77</v>
      </c>
      <c r="G571" t="s">
        <v>811</v>
      </c>
      <c r="H571" t="s">
        <v>14</v>
      </c>
      <c r="I571" t="s">
        <v>14</v>
      </c>
    </row>
    <row r="572" spans="1:9">
      <c r="A572" t="s">
        <v>819</v>
      </c>
      <c r="B572" t="s">
        <v>810</v>
      </c>
      <c r="C572" t="s">
        <v>627</v>
      </c>
      <c r="D572" s="1">
        <v>19.01</v>
      </c>
      <c r="E572" s="2">
        <v>4.1</v>
      </c>
      <c r="F572" s="2">
        <v>77.94</v>
      </c>
      <c r="G572" t="s">
        <v>811</v>
      </c>
      <c r="H572" t="s">
        <v>14</v>
      </c>
      <c r="I572" t="s">
        <v>14</v>
      </c>
    </row>
    <row r="573" spans="1:9">
      <c r="A573" t="s">
        <v>820</v>
      </c>
      <c r="B573" t="s">
        <v>810</v>
      </c>
      <c r="C573" t="s">
        <v>71</v>
      </c>
      <c r="D573" s="1">
        <v>19.13</v>
      </c>
      <c r="E573" s="2">
        <v>5.85</v>
      </c>
      <c r="F573" s="2">
        <v>111.91</v>
      </c>
      <c r="G573" t="s">
        <v>811</v>
      </c>
      <c r="H573" t="s">
        <v>14</v>
      </c>
      <c r="I573" t="s">
        <v>14</v>
      </c>
    </row>
    <row r="574" spans="1:9">
      <c r="A574" t="s">
        <v>821</v>
      </c>
      <c r="B574" t="s">
        <v>810</v>
      </c>
      <c r="C574" t="s">
        <v>576</v>
      </c>
      <c r="D574" s="1">
        <v>19.19</v>
      </c>
      <c r="E574" s="2">
        <v>3.6</v>
      </c>
      <c r="F574" s="2">
        <v>69.08</v>
      </c>
      <c r="G574" t="s">
        <v>811</v>
      </c>
      <c r="H574" t="s">
        <v>14</v>
      </c>
      <c r="I574" t="s">
        <v>14</v>
      </c>
    </row>
    <row r="575" spans="1:9">
      <c r="A575" t="s">
        <v>822</v>
      </c>
      <c r="B575" t="s">
        <v>810</v>
      </c>
      <c r="C575" t="s">
        <v>583</v>
      </c>
      <c r="D575" s="1">
        <v>19.18</v>
      </c>
      <c r="E575" s="2">
        <v>4.1</v>
      </c>
      <c r="F575" s="2">
        <v>78.64</v>
      </c>
      <c r="G575" t="s">
        <v>811</v>
      </c>
      <c r="H575" t="s">
        <v>14</v>
      </c>
      <c r="I575" t="s">
        <v>14</v>
      </c>
    </row>
    <row r="576" spans="1:9">
      <c r="A576" t="s">
        <v>823</v>
      </c>
      <c r="B576" t="s">
        <v>810</v>
      </c>
      <c r="C576" t="s">
        <v>583</v>
      </c>
      <c r="D576" s="1">
        <v>19.2</v>
      </c>
      <c r="E576" s="2">
        <v>4.1</v>
      </c>
      <c r="F576" s="2">
        <v>78.72</v>
      </c>
      <c r="G576" t="s">
        <v>811</v>
      </c>
      <c r="H576" t="s">
        <v>14</v>
      </c>
      <c r="I576" t="s">
        <v>14</v>
      </c>
    </row>
    <row r="577" spans="1:9">
      <c r="A577" t="s">
        <v>824</v>
      </c>
      <c r="B577" t="s">
        <v>810</v>
      </c>
      <c r="C577" t="s">
        <v>627</v>
      </c>
      <c r="D577" s="1">
        <v>19.13</v>
      </c>
      <c r="E577" s="2">
        <v>4.1</v>
      </c>
      <c r="F577" s="2">
        <v>78.43</v>
      </c>
      <c r="G577" t="s">
        <v>811</v>
      </c>
      <c r="H577" t="s">
        <v>14</v>
      </c>
      <c r="I577" t="s">
        <v>14</v>
      </c>
    </row>
    <row r="578" spans="1:9">
      <c r="A578" t="s">
        <v>825</v>
      </c>
      <c r="B578" t="s">
        <v>810</v>
      </c>
      <c r="C578" t="s">
        <v>585</v>
      </c>
      <c r="D578" s="1">
        <v>19.2</v>
      </c>
      <c r="E578" s="2">
        <v>6.1</v>
      </c>
      <c r="F578" s="2">
        <v>117.12</v>
      </c>
      <c r="G578" t="s">
        <v>811</v>
      </c>
      <c r="H578" t="s">
        <v>14</v>
      </c>
      <c r="I578" t="s">
        <v>14</v>
      </c>
    </row>
    <row r="579" spans="1:9">
      <c r="A579" t="s">
        <v>826</v>
      </c>
      <c r="B579" t="s">
        <v>810</v>
      </c>
      <c r="C579" t="s">
        <v>827</v>
      </c>
      <c r="D579" s="1">
        <v>19.17</v>
      </c>
      <c r="E579" s="2">
        <v>3.6</v>
      </c>
      <c r="F579" s="2">
        <v>69.01</v>
      </c>
      <c r="G579" t="s">
        <v>811</v>
      </c>
      <c r="H579" t="s">
        <v>14</v>
      </c>
      <c r="I579" t="s">
        <v>14</v>
      </c>
    </row>
    <row r="580" spans="1:9">
      <c r="A580" t="s">
        <v>828</v>
      </c>
      <c r="B580" t="s">
        <v>810</v>
      </c>
      <c r="C580" t="s">
        <v>583</v>
      </c>
      <c r="D580" s="1">
        <v>19.21</v>
      </c>
      <c r="E580" s="2">
        <v>4.85</v>
      </c>
      <c r="F580" s="2">
        <v>93.17</v>
      </c>
      <c r="G580" t="s">
        <v>811</v>
      </c>
      <c r="H580" t="s">
        <v>14</v>
      </c>
      <c r="I580" t="s">
        <v>14</v>
      </c>
    </row>
    <row r="581" spans="1:9">
      <c r="A581" t="s">
        <v>829</v>
      </c>
      <c r="B581" t="s">
        <v>810</v>
      </c>
      <c r="C581" t="s">
        <v>71</v>
      </c>
      <c r="D581" s="1">
        <v>19.07</v>
      </c>
      <c r="E581" s="2">
        <v>5.85</v>
      </c>
      <c r="F581" s="2">
        <v>111.56</v>
      </c>
      <c r="G581" t="s">
        <v>811</v>
      </c>
      <c r="H581" t="s">
        <v>14</v>
      </c>
      <c r="I581" t="s">
        <v>14</v>
      </c>
    </row>
    <row r="582" spans="1:9">
      <c r="A582" t="s">
        <v>830</v>
      </c>
      <c r="B582" t="s">
        <v>810</v>
      </c>
      <c r="C582" t="s">
        <v>831</v>
      </c>
      <c r="D582" s="1">
        <v>19.14</v>
      </c>
      <c r="E582" s="2">
        <v>4.1</v>
      </c>
      <c r="F582" s="2">
        <v>78.47</v>
      </c>
      <c r="G582" t="s">
        <v>811</v>
      </c>
      <c r="H582" t="s">
        <v>14</v>
      </c>
      <c r="I582" t="s">
        <v>14</v>
      </c>
    </row>
    <row r="583" spans="1:9">
      <c r="A583" t="s">
        <v>832</v>
      </c>
      <c r="B583" t="s">
        <v>810</v>
      </c>
      <c r="C583" t="s">
        <v>833</v>
      </c>
      <c r="D583" s="1">
        <v>19.21</v>
      </c>
      <c r="E583" s="2">
        <v>5.6</v>
      </c>
      <c r="F583" s="2">
        <v>107.58</v>
      </c>
      <c r="G583" t="s">
        <v>811</v>
      </c>
      <c r="H583" t="s">
        <v>14</v>
      </c>
      <c r="I583" t="s">
        <v>14</v>
      </c>
    </row>
    <row r="584" spans="1:9">
      <c r="A584" t="s">
        <v>834</v>
      </c>
      <c r="B584" t="s">
        <v>810</v>
      </c>
      <c r="C584" t="s">
        <v>835</v>
      </c>
      <c r="D584" s="1">
        <v>19.18</v>
      </c>
      <c r="E584" s="2">
        <v>6.3</v>
      </c>
      <c r="F584" s="2">
        <v>120.83</v>
      </c>
      <c r="G584" t="s">
        <v>811</v>
      </c>
      <c r="H584" t="s">
        <v>14</v>
      </c>
      <c r="I584" t="s">
        <v>14</v>
      </c>
    </row>
    <row r="585" spans="1:9">
      <c r="A585" t="s">
        <v>836</v>
      </c>
      <c r="B585" t="s">
        <v>810</v>
      </c>
      <c r="C585" t="s">
        <v>583</v>
      </c>
      <c r="D585" s="1">
        <v>19.19</v>
      </c>
      <c r="E585" s="2">
        <v>4.85</v>
      </c>
      <c r="F585" s="2">
        <v>93.07</v>
      </c>
      <c r="G585" t="s">
        <v>811</v>
      </c>
      <c r="H585" t="s">
        <v>14</v>
      </c>
      <c r="I585" t="s">
        <v>14</v>
      </c>
    </row>
    <row r="586" spans="1:9">
      <c r="A586" t="s">
        <v>837</v>
      </c>
      <c r="B586" t="s">
        <v>810</v>
      </c>
      <c r="C586" t="s">
        <v>838</v>
      </c>
      <c r="D586" s="1">
        <v>19.23</v>
      </c>
      <c r="E586" s="2">
        <v>5.6</v>
      </c>
      <c r="F586" s="2">
        <v>107.69</v>
      </c>
      <c r="G586" t="s">
        <v>811</v>
      </c>
      <c r="H586" t="s">
        <v>14</v>
      </c>
      <c r="I586" t="s">
        <v>14</v>
      </c>
    </row>
    <row r="587" spans="1:9">
      <c r="A587" t="s">
        <v>839</v>
      </c>
      <c r="B587" t="s">
        <v>810</v>
      </c>
      <c r="C587" t="s">
        <v>840</v>
      </c>
      <c r="D587" s="1">
        <v>19.2</v>
      </c>
      <c r="E587" s="2">
        <v>5.35</v>
      </c>
      <c r="F587" s="2">
        <v>102.72</v>
      </c>
      <c r="G587" t="s">
        <v>811</v>
      </c>
      <c r="H587" t="s">
        <v>14</v>
      </c>
      <c r="I587" t="s">
        <v>14</v>
      </c>
    </row>
    <row r="588" spans="1:9">
      <c r="A588" t="s">
        <v>841</v>
      </c>
      <c r="B588" t="s">
        <v>810</v>
      </c>
      <c r="C588" t="s">
        <v>842</v>
      </c>
      <c r="D588" s="1">
        <v>19.15</v>
      </c>
      <c r="E588" s="2">
        <v>6.3</v>
      </c>
      <c r="F588" s="2">
        <v>120.64</v>
      </c>
      <c r="G588" t="s">
        <v>811</v>
      </c>
      <c r="H588" t="s">
        <v>14</v>
      </c>
      <c r="I588" t="s">
        <v>14</v>
      </c>
    </row>
    <row r="589" spans="1:9">
      <c r="A589" t="s">
        <v>843</v>
      </c>
      <c r="B589" t="s">
        <v>810</v>
      </c>
      <c r="C589" t="s">
        <v>844</v>
      </c>
      <c r="D589" s="1">
        <v>19.15</v>
      </c>
      <c r="E589" s="2">
        <v>3.6</v>
      </c>
      <c r="F589" s="2">
        <v>68.94</v>
      </c>
      <c r="G589" t="s">
        <v>811</v>
      </c>
      <c r="H589" t="s">
        <v>14</v>
      </c>
      <c r="I589" t="s">
        <v>14</v>
      </c>
    </row>
    <row r="590" spans="1:9">
      <c r="A590" t="s">
        <v>845</v>
      </c>
      <c r="B590" t="s">
        <v>810</v>
      </c>
      <c r="C590" t="s">
        <v>581</v>
      </c>
      <c r="D590" s="1">
        <v>19.17</v>
      </c>
      <c r="E590" s="2">
        <v>5.05</v>
      </c>
      <c r="F590" s="2">
        <v>96.81</v>
      </c>
      <c r="G590" t="s">
        <v>811</v>
      </c>
      <c r="H590" t="s">
        <v>14</v>
      </c>
      <c r="I590" t="s">
        <v>14</v>
      </c>
    </row>
    <row r="591" spans="1:9">
      <c r="A591" t="s">
        <v>846</v>
      </c>
      <c r="B591" t="s">
        <v>810</v>
      </c>
      <c r="C591" t="s">
        <v>627</v>
      </c>
      <c r="D591" s="1">
        <v>19.28</v>
      </c>
      <c r="E591" s="2">
        <v>4.1</v>
      </c>
      <c r="F591" s="2">
        <v>79.05</v>
      </c>
      <c r="G591" t="s">
        <v>811</v>
      </c>
      <c r="H591" t="s">
        <v>14</v>
      </c>
      <c r="I591" t="s">
        <v>14</v>
      </c>
    </row>
    <row r="592" spans="1:9">
      <c r="A592" t="s">
        <v>847</v>
      </c>
      <c r="B592" t="s">
        <v>810</v>
      </c>
      <c r="C592" t="s">
        <v>722</v>
      </c>
      <c r="D592" s="1">
        <v>19.07</v>
      </c>
      <c r="E592" s="2">
        <v>5.85</v>
      </c>
      <c r="F592" s="2">
        <v>111.56</v>
      </c>
      <c r="G592" t="s">
        <v>811</v>
      </c>
      <c r="H592" t="s">
        <v>14</v>
      </c>
      <c r="I592" t="s">
        <v>14</v>
      </c>
    </row>
    <row r="593" spans="1:9">
      <c r="A593" t="s">
        <v>848</v>
      </c>
      <c r="B593" t="s">
        <v>849</v>
      </c>
      <c r="C593" t="s">
        <v>68</v>
      </c>
      <c r="D593" s="1">
        <v>19.91</v>
      </c>
      <c r="E593" s="2">
        <v>6.85</v>
      </c>
      <c r="F593" s="2">
        <v>136.38</v>
      </c>
      <c r="G593" t="s">
        <v>850</v>
      </c>
      <c r="H593" t="s">
        <v>14</v>
      </c>
      <c r="I593" t="s">
        <v>14</v>
      </c>
    </row>
    <row r="594" spans="1:9">
      <c r="A594" t="s">
        <v>851</v>
      </c>
      <c r="B594" t="s">
        <v>849</v>
      </c>
      <c r="C594" t="s">
        <v>583</v>
      </c>
      <c r="D594" s="1">
        <v>19.71</v>
      </c>
      <c r="E594" s="2">
        <v>4.1</v>
      </c>
      <c r="F594" s="2">
        <v>80.81</v>
      </c>
      <c r="G594" t="s">
        <v>850</v>
      </c>
      <c r="H594" t="s">
        <v>14</v>
      </c>
      <c r="I594" t="s">
        <v>14</v>
      </c>
    </row>
    <row r="595" spans="1:9">
      <c r="A595" t="s">
        <v>852</v>
      </c>
      <c r="B595" t="s">
        <v>849</v>
      </c>
      <c r="C595" t="s">
        <v>571</v>
      </c>
      <c r="D595" s="1">
        <v>19.87</v>
      </c>
      <c r="E595" s="2">
        <v>3.4</v>
      </c>
      <c r="F595" s="2">
        <v>67.56</v>
      </c>
      <c r="G595" t="s">
        <v>850</v>
      </c>
      <c r="H595" t="s">
        <v>14</v>
      </c>
      <c r="I595" t="s">
        <v>14</v>
      </c>
    </row>
    <row r="596" spans="1:9">
      <c r="A596" t="s">
        <v>853</v>
      </c>
      <c r="B596" t="s">
        <v>849</v>
      </c>
      <c r="C596" t="s">
        <v>592</v>
      </c>
      <c r="D596" s="1">
        <v>19.84</v>
      </c>
      <c r="E596" s="2">
        <v>4.45</v>
      </c>
      <c r="F596" s="2">
        <v>88.29</v>
      </c>
      <c r="G596" t="s">
        <v>850</v>
      </c>
      <c r="H596" t="s">
        <v>14</v>
      </c>
      <c r="I596" t="s">
        <v>14</v>
      </c>
    </row>
    <row r="597" spans="1:9">
      <c r="A597" t="s">
        <v>854</v>
      </c>
      <c r="B597" t="s">
        <v>849</v>
      </c>
      <c r="C597" t="s">
        <v>817</v>
      </c>
      <c r="D597" s="1">
        <v>19.92</v>
      </c>
      <c r="E597" s="2">
        <v>4.3</v>
      </c>
      <c r="F597" s="2">
        <v>85.66</v>
      </c>
      <c r="G597" t="s">
        <v>850</v>
      </c>
      <c r="H597" t="s">
        <v>14</v>
      </c>
      <c r="I597" t="s">
        <v>14</v>
      </c>
    </row>
    <row r="598" spans="1:9">
      <c r="A598" t="s">
        <v>855</v>
      </c>
      <c r="B598" t="s">
        <v>849</v>
      </c>
      <c r="C598" t="s">
        <v>592</v>
      </c>
      <c r="D598" s="1">
        <v>19.92</v>
      </c>
      <c r="E598" s="2">
        <v>4.45</v>
      </c>
      <c r="F598" s="2">
        <v>88.64</v>
      </c>
      <c r="G598" t="s">
        <v>850</v>
      </c>
      <c r="H598" t="s">
        <v>14</v>
      </c>
      <c r="I598" t="s">
        <v>14</v>
      </c>
    </row>
    <row r="599" spans="1:9">
      <c r="A599" t="s">
        <v>856</v>
      </c>
      <c r="B599" t="s">
        <v>849</v>
      </c>
      <c r="C599" t="s">
        <v>583</v>
      </c>
      <c r="D599" s="1">
        <v>19.91</v>
      </c>
      <c r="E599" s="2">
        <v>4.1</v>
      </c>
      <c r="F599" s="2">
        <v>81.63</v>
      </c>
      <c r="G599" t="s">
        <v>850</v>
      </c>
      <c r="H599" t="s">
        <v>14</v>
      </c>
      <c r="I599" t="s">
        <v>14</v>
      </c>
    </row>
    <row r="600" spans="1:9">
      <c r="A600" t="s">
        <v>857</v>
      </c>
      <c r="B600" t="s">
        <v>849</v>
      </c>
      <c r="C600" t="s">
        <v>71</v>
      </c>
      <c r="D600" s="1">
        <v>19.95</v>
      </c>
      <c r="E600" s="2">
        <v>5.85</v>
      </c>
      <c r="F600" s="2">
        <v>116.71</v>
      </c>
      <c r="G600" t="s">
        <v>850</v>
      </c>
      <c r="H600" t="s">
        <v>14</v>
      </c>
      <c r="I600" t="s">
        <v>14</v>
      </c>
    </row>
    <row r="601" spans="1:9">
      <c r="A601" t="s">
        <v>858</v>
      </c>
      <c r="B601" t="s">
        <v>849</v>
      </c>
      <c r="C601" t="s">
        <v>71</v>
      </c>
      <c r="D601" s="1">
        <v>19.83</v>
      </c>
      <c r="E601" s="2">
        <v>5.85</v>
      </c>
      <c r="F601" s="2">
        <v>116.01</v>
      </c>
      <c r="G601" t="s">
        <v>850</v>
      </c>
      <c r="H601" t="s">
        <v>14</v>
      </c>
      <c r="I601" t="s">
        <v>14</v>
      </c>
    </row>
    <row r="602" spans="1:9">
      <c r="A602" t="s">
        <v>859</v>
      </c>
      <c r="B602" t="s">
        <v>849</v>
      </c>
      <c r="C602" t="s">
        <v>583</v>
      </c>
      <c r="D602" s="1">
        <v>20.19</v>
      </c>
      <c r="E602" s="2">
        <v>4.1</v>
      </c>
      <c r="F602" s="2">
        <v>82.78</v>
      </c>
      <c r="G602" t="s">
        <v>850</v>
      </c>
      <c r="H602" t="s">
        <v>14</v>
      </c>
      <c r="I602" t="s">
        <v>14</v>
      </c>
    </row>
    <row r="603" spans="1:9">
      <c r="A603" t="s">
        <v>860</v>
      </c>
      <c r="B603" t="s">
        <v>849</v>
      </c>
      <c r="C603" t="s">
        <v>625</v>
      </c>
      <c r="D603" s="1">
        <v>20.17</v>
      </c>
      <c r="E603" s="2">
        <v>5.05</v>
      </c>
      <c r="F603" s="2">
        <v>101.86</v>
      </c>
      <c r="G603" t="s">
        <v>850</v>
      </c>
      <c r="H603" t="s">
        <v>14</v>
      </c>
      <c r="I603" t="s">
        <v>14</v>
      </c>
    </row>
    <row r="604" spans="1:9">
      <c r="A604" t="s">
        <v>861</v>
      </c>
      <c r="B604" t="s">
        <v>849</v>
      </c>
      <c r="C604" t="s">
        <v>592</v>
      </c>
      <c r="D604" s="1">
        <v>20.15</v>
      </c>
      <c r="E604" s="2">
        <v>4.45</v>
      </c>
      <c r="F604" s="2">
        <v>89.67</v>
      </c>
      <c r="G604" t="s">
        <v>850</v>
      </c>
      <c r="H604" t="s">
        <v>14</v>
      </c>
      <c r="I604" t="s">
        <v>14</v>
      </c>
    </row>
    <row r="605" spans="1:9">
      <c r="A605" t="s">
        <v>862</v>
      </c>
      <c r="B605" t="s">
        <v>849</v>
      </c>
      <c r="C605" t="s">
        <v>583</v>
      </c>
      <c r="D605" s="1">
        <v>20.12</v>
      </c>
      <c r="E605" s="2">
        <v>4.1</v>
      </c>
      <c r="F605" s="2">
        <v>82.49</v>
      </c>
      <c r="G605" t="s">
        <v>850</v>
      </c>
      <c r="H605" t="s">
        <v>14</v>
      </c>
      <c r="I605" t="s">
        <v>14</v>
      </c>
    </row>
    <row r="606" spans="1:9">
      <c r="A606" t="s">
        <v>863</v>
      </c>
      <c r="B606" t="s">
        <v>849</v>
      </c>
      <c r="C606" t="s">
        <v>581</v>
      </c>
      <c r="D606" s="1">
        <v>20.16</v>
      </c>
      <c r="E606" s="2">
        <v>5.05</v>
      </c>
      <c r="F606" s="2">
        <v>101.81</v>
      </c>
      <c r="G606" t="s">
        <v>850</v>
      </c>
      <c r="H606" t="s">
        <v>14</v>
      </c>
      <c r="I606" t="s">
        <v>14</v>
      </c>
    </row>
    <row r="607" spans="1:9">
      <c r="A607" t="s">
        <v>864</v>
      </c>
      <c r="B607" t="s">
        <v>849</v>
      </c>
      <c r="C607" t="s">
        <v>865</v>
      </c>
      <c r="D607" s="1">
        <v>20.17</v>
      </c>
      <c r="E607" s="2">
        <v>4.45</v>
      </c>
      <c r="F607" s="2">
        <v>89.76</v>
      </c>
      <c r="G607" t="s">
        <v>850</v>
      </c>
      <c r="H607" t="s">
        <v>14</v>
      </c>
      <c r="I607" t="s">
        <v>14</v>
      </c>
    </row>
    <row r="608" spans="1:9">
      <c r="A608" t="s">
        <v>866</v>
      </c>
      <c r="B608" t="s">
        <v>849</v>
      </c>
      <c r="C608" t="s">
        <v>592</v>
      </c>
      <c r="D608" s="1">
        <v>20.13</v>
      </c>
      <c r="E608" s="2">
        <v>4.45</v>
      </c>
      <c r="F608" s="2">
        <v>89.58</v>
      </c>
      <c r="G608" t="s">
        <v>850</v>
      </c>
      <c r="H608" t="s">
        <v>14</v>
      </c>
      <c r="I608" t="s">
        <v>14</v>
      </c>
    </row>
    <row r="609" spans="1:9">
      <c r="A609" t="s">
        <v>867</v>
      </c>
      <c r="B609" t="s">
        <v>849</v>
      </c>
      <c r="C609" t="s">
        <v>868</v>
      </c>
      <c r="D609" s="1">
        <v>20.13</v>
      </c>
      <c r="E609" s="2">
        <v>5.6</v>
      </c>
      <c r="F609" s="2">
        <v>112.73</v>
      </c>
      <c r="G609" t="s">
        <v>850</v>
      </c>
      <c r="H609" t="s">
        <v>14</v>
      </c>
      <c r="I609" t="s">
        <v>14</v>
      </c>
    </row>
    <row r="610" spans="1:9">
      <c r="A610" t="s">
        <v>869</v>
      </c>
      <c r="B610" t="s">
        <v>849</v>
      </c>
      <c r="C610" t="s">
        <v>870</v>
      </c>
      <c r="D610" s="1">
        <v>20.07</v>
      </c>
      <c r="E610" s="2">
        <v>5.05</v>
      </c>
      <c r="F610" s="2">
        <v>101.35</v>
      </c>
      <c r="G610" t="s">
        <v>850</v>
      </c>
      <c r="H610" t="s">
        <v>14</v>
      </c>
      <c r="I610" t="s">
        <v>14</v>
      </c>
    </row>
    <row r="611" spans="1:9">
      <c r="A611" t="s">
        <v>871</v>
      </c>
      <c r="B611" t="s">
        <v>849</v>
      </c>
      <c r="C611" t="s">
        <v>668</v>
      </c>
      <c r="D611" s="1">
        <v>20.08</v>
      </c>
      <c r="E611" s="2">
        <v>4.2</v>
      </c>
      <c r="F611" s="2">
        <v>84.34</v>
      </c>
      <c r="G611" t="s">
        <v>850</v>
      </c>
      <c r="H611" t="s">
        <v>14</v>
      </c>
      <c r="I611" t="s">
        <v>14</v>
      </c>
    </row>
    <row r="612" spans="1:9">
      <c r="A612" t="s">
        <v>872</v>
      </c>
      <c r="B612" t="s">
        <v>873</v>
      </c>
      <c r="C612" t="s">
        <v>307</v>
      </c>
      <c r="D612" s="1">
        <v>17.86</v>
      </c>
      <c r="E612" s="2">
        <v>3.4</v>
      </c>
      <c r="F612" s="2">
        <v>60.72</v>
      </c>
      <c r="G612" t="s">
        <v>874</v>
      </c>
      <c r="H612" t="s">
        <v>14</v>
      </c>
      <c r="I612" t="s">
        <v>14</v>
      </c>
    </row>
    <row r="613" spans="1:9">
      <c r="A613" t="s">
        <v>875</v>
      </c>
      <c r="B613" t="s">
        <v>873</v>
      </c>
      <c r="C613" t="s">
        <v>302</v>
      </c>
      <c r="D613" s="1">
        <v>17.86</v>
      </c>
      <c r="E613" s="2">
        <v>4.1</v>
      </c>
      <c r="F613" s="2">
        <v>73.23</v>
      </c>
      <c r="G613" t="s">
        <v>874</v>
      </c>
      <c r="H613" t="s">
        <v>14</v>
      </c>
      <c r="I613" t="s">
        <v>14</v>
      </c>
    </row>
    <row r="614" spans="1:9">
      <c r="A614" t="s">
        <v>876</v>
      </c>
      <c r="B614" t="s">
        <v>873</v>
      </c>
      <c r="C614" t="s">
        <v>313</v>
      </c>
      <c r="D614" s="1">
        <v>17.91</v>
      </c>
      <c r="E614" s="2">
        <v>4.1</v>
      </c>
      <c r="F614" s="2">
        <v>73.43</v>
      </c>
      <c r="G614" t="s">
        <v>874</v>
      </c>
      <c r="H614" t="s">
        <v>14</v>
      </c>
      <c r="I614" t="s">
        <v>14</v>
      </c>
    </row>
    <row r="615" spans="1:9">
      <c r="A615" t="s">
        <v>877</v>
      </c>
      <c r="B615" t="s">
        <v>873</v>
      </c>
      <c r="C615" t="s">
        <v>348</v>
      </c>
      <c r="D615" s="1">
        <v>17.86</v>
      </c>
      <c r="E615" s="2">
        <v>5.85</v>
      </c>
      <c r="F615" s="2">
        <v>104.48</v>
      </c>
      <c r="G615" t="s">
        <v>874</v>
      </c>
      <c r="H615" t="s">
        <v>14</v>
      </c>
      <c r="I615" t="s">
        <v>14</v>
      </c>
    </row>
    <row r="616" spans="1:9">
      <c r="A616" t="s">
        <v>878</v>
      </c>
      <c r="B616" t="s">
        <v>873</v>
      </c>
      <c r="C616" t="s">
        <v>307</v>
      </c>
      <c r="D616" s="1">
        <v>17.85</v>
      </c>
      <c r="E616" s="2">
        <v>3.4</v>
      </c>
      <c r="F616" s="2">
        <v>60.69</v>
      </c>
      <c r="G616" t="s">
        <v>874</v>
      </c>
      <c r="H616" t="s">
        <v>14</v>
      </c>
      <c r="I616" t="s">
        <v>14</v>
      </c>
    </row>
    <row r="617" spans="1:9">
      <c r="A617" t="s">
        <v>879</v>
      </c>
      <c r="B617" t="s">
        <v>873</v>
      </c>
      <c r="C617" t="s">
        <v>305</v>
      </c>
      <c r="D617" s="1">
        <v>17.88</v>
      </c>
      <c r="E617" s="2">
        <v>5.35</v>
      </c>
      <c r="F617" s="2">
        <v>95.66</v>
      </c>
      <c r="G617" t="s">
        <v>874</v>
      </c>
      <c r="H617" t="s">
        <v>14</v>
      </c>
      <c r="I617" t="s">
        <v>14</v>
      </c>
    </row>
    <row r="618" spans="1:9">
      <c r="A618" t="s">
        <v>880</v>
      </c>
      <c r="B618" t="s">
        <v>873</v>
      </c>
      <c r="C618" t="s">
        <v>305</v>
      </c>
      <c r="D618" s="1">
        <v>17.85</v>
      </c>
      <c r="E618" s="2">
        <v>5.35</v>
      </c>
      <c r="F618" s="2">
        <v>95.5</v>
      </c>
      <c r="G618" t="s">
        <v>874</v>
      </c>
      <c r="H618" t="s">
        <v>14</v>
      </c>
      <c r="I618" t="s">
        <v>14</v>
      </c>
    </row>
    <row r="619" spans="1:9">
      <c r="A619" t="s">
        <v>881</v>
      </c>
      <c r="B619" t="s">
        <v>882</v>
      </c>
      <c r="C619" t="s">
        <v>579</v>
      </c>
      <c r="D619" s="1">
        <v>20.72</v>
      </c>
      <c r="E619" s="2">
        <v>9.4</v>
      </c>
      <c r="F619" s="2">
        <v>194.77</v>
      </c>
      <c r="G619" t="s">
        <v>883</v>
      </c>
      <c r="H619" t="s">
        <v>14</v>
      </c>
      <c r="I619" t="s">
        <v>14</v>
      </c>
    </row>
    <row r="620" spans="1:9">
      <c r="A620" t="s">
        <v>884</v>
      </c>
      <c r="B620" t="s">
        <v>882</v>
      </c>
      <c r="C620" t="s">
        <v>885</v>
      </c>
      <c r="D620" s="1">
        <v>20.67</v>
      </c>
      <c r="E620" s="2">
        <v>5.85</v>
      </c>
      <c r="F620" s="2">
        <v>120.92</v>
      </c>
      <c r="G620" t="s">
        <v>883</v>
      </c>
      <c r="H620" t="s">
        <v>14</v>
      </c>
      <c r="I620" t="s">
        <v>14</v>
      </c>
    </row>
    <row r="621" spans="1:9">
      <c r="A621" t="s">
        <v>886</v>
      </c>
      <c r="B621" t="s">
        <v>882</v>
      </c>
      <c r="C621" t="s">
        <v>71</v>
      </c>
      <c r="D621" s="1">
        <v>20.55</v>
      </c>
      <c r="E621" s="2">
        <v>5.85</v>
      </c>
      <c r="F621" s="2">
        <v>120.22</v>
      </c>
      <c r="G621" t="s">
        <v>883</v>
      </c>
      <c r="H621" t="s">
        <v>14</v>
      </c>
      <c r="I621" t="s">
        <v>14</v>
      </c>
    </row>
    <row r="622" spans="1:9">
      <c r="A622" t="s">
        <v>887</v>
      </c>
      <c r="B622" t="s">
        <v>882</v>
      </c>
      <c r="C622" t="s">
        <v>144</v>
      </c>
      <c r="D622" s="1">
        <v>21.15</v>
      </c>
      <c r="E622" s="2">
        <v>6.3</v>
      </c>
      <c r="F622" s="2">
        <v>133.24</v>
      </c>
      <c r="G622" t="s">
        <v>883</v>
      </c>
      <c r="H622" t="s">
        <v>14</v>
      </c>
      <c r="I622" t="s">
        <v>14</v>
      </c>
    </row>
    <row r="623" spans="1:9">
      <c r="A623" t="s">
        <v>888</v>
      </c>
      <c r="B623" t="s">
        <v>882</v>
      </c>
      <c r="C623" t="s">
        <v>799</v>
      </c>
      <c r="D623" s="1">
        <v>21.15</v>
      </c>
      <c r="E623" s="2">
        <v>3.6</v>
      </c>
      <c r="F623" s="2">
        <v>76.14</v>
      </c>
      <c r="G623" t="s">
        <v>883</v>
      </c>
      <c r="H623" t="s">
        <v>14</v>
      </c>
      <c r="I623" t="s">
        <v>14</v>
      </c>
    </row>
    <row r="624" spans="1:9">
      <c r="A624" t="s">
        <v>889</v>
      </c>
      <c r="B624" t="s">
        <v>882</v>
      </c>
      <c r="C624" t="s">
        <v>122</v>
      </c>
      <c r="D624" s="1">
        <v>21.15</v>
      </c>
      <c r="E624" s="2">
        <v>4.85</v>
      </c>
      <c r="F624" s="2">
        <v>102.58</v>
      </c>
      <c r="G624" t="s">
        <v>883</v>
      </c>
      <c r="H624" t="s">
        <v>14</v>
      </c>
      <c r="I624" t="s">
        <v>14</v>
      </c>
    </row>
    <row r="625" spans="1:9">
      <c r="A625" t="s">
        <v>890</v>
      </c>
      <c r="B625" t="s">
        <v>882</v>
      </c>
      <c r="C625" t="s">
        <v>891</v>
      </c>
      <c r="D625" s="1">
        <v>21.1</v>
      </c>
      <c r="E625" s="2">
        <v>5.35</v>
      </c>
      <c r="F625" s="2">
        <v>112.88</v>
      </c>
      <c r="G625" t="s">
        <v>883</v>
      </c>
      <c r="H625" t="s">
        <v>14</v>
      </c>
      <c r="I625" t="s">
        <v>14</v>
      </c>
    </row>
    <row r="626" spans="1:9">
      <c r="A626" t="s">
        <v>892</v>
      </c>
      <c r="B626" t="s">
        <v>882</v>
      </c>
      <c r="C626" t="s">
        <v>893</v>
      </c>
      <c r="D626" s="1">
        <v>21.13</v>
      </c>
      <c r="E626" s="2">
        <v>4.3</v>
      </c>
      <c r="F626" s="2">
        <v>90.86</v>
      </c>
      <c r="G626" t="s">
        <v>883</v>
      </c>
      <c r="H626" t="s">
        <v>14</v>
      </c>
      <c r="I626" t="s">
        <v>14</v>
      </c>
    </row>
    <row r="627" spans="1:9">
      <c r="A627" t="s">
        <v>894</v>
      </c>
      <c r="B627" t="s">
        <v>882</v>
      </c>
      <c r="C627" t="s">
        <v>668</v>
      </c>
      <c r="D627" s="1">
        <v>21.14</v>
      </c>
      <c r="E627" s="2">
        <v>4.2</v>
      </c>
      <c r="F627" s="2">
        <v>88.79</v>
      </c>
      <c r="G627" t="s">
        <v>883</v>
      </c>
      <c r="H627" t="s">
        <v>14</v>
      </c>
      <c r="I627" t="s">
        <v>14</v>
      </c>
    </row>
    <row r="628" spans="1:9">
      <c r="A628" t="s">
        <v>895</v>
      </c>
      <c r="B628" t="s">
        <v>882</v>
      </c>
      <c r="C628" t="s">
        <v>896</v>
      </c>
      <c r="D628" s="1">
        <v>21.07</v>
      </c>
      <c r="E628" s="2">
        <v>5.6</v>
      </c>
      <c r="F628" s="2">
        <v>117.99</v>
      </c>
      <c r="G628" t="s">
        <v>883</v>
      </c>
      <c r="H628" t="s">
        <v>14</v>
      </c>
      <c r="I628" t="s">
        <v>14</v>
      </c>
    </row>
    <row r="629" spans="1:9">
      <c r="A629" t="s">
        <v>897</v>
      </c>
      <c r="B629" t="s">
        <v>882</v>
      </c>
      <c r="C629" t="s">
        <v>170</v>
      </c>
      <c r="D629" s="1">
        <v>21.17</v>
      </c>
      <c r="E629" s="2">
        <v>5.85</v>
      </c>
      <c r="F629" s="2">
        <v>123.84</v>
      </c>
      <c r="G629" t="s">
        <v>883</v>
      </c>
      <c r="H629" t="s">
        <v>14</v>
      </c>
      <c r="I629" t="s">
        <v>14</v>
      </c>
    </row>
    <row r="630" spans="1:9">
      <c r="A630" t="s">
        <v>898</v>
      </c>
      <c r="B630" t="s">
        <v>899</v>
      </c>
      <c r="C630" t="s">
        <v>204</v>
      </c>
      <c r="D630" s="1">
        <v>20.6</v>
      </c>
      <c r="E630" s="2">
        <v>4.3</v>
      </c>
      <c r="F630" s="2">
        <v>88.58</v>
      </c>
      <c r="G630" t="s">
        <v>900</v>
      </c>
      <c r="H630" t="s">
        <v>14</v>
      </c>
      <c r="I630" t="s">
        <v>14</v>
      </c>
    </row>
    <row r="631" spans="1:9">
      <c r="A631" t="s">
        <v>901</v>
      </c>
      <c r="B631" t="s">
        <v>899</v>
      </c>
      <c r="C631" t="s">
        <v>229</v>
      </c>
      <c r="D631" s="1">
        <v>20.68</v>
      </c>
      <c r="E631" s="2">
        <v>4.45</v>
      </c>
      <c r="F631" s="2">
        <v>92.03</v>
      </c>
      <c r="G631" t="s">
        <v>900</v>
      </c>
      <c r="H631" t="s">
        <v>14</v>
      </c>
      <c r="I631" t="s">
        <v>14</v>
      </c>
    </row>
    <row r="632" spans="1:9">
      <c r="A632" t="s">
        <v>902</v>
      </c>
      <c r="B632" t="s">
        <v>899</v>
      </c>
      <c r="C632" t="s">
        <v>217</v>
      </c>
      <c r="D632" s="1">
        <v>20.66</v>
      </c>
      <c r="E632" s="2">
        <v>6.3</v>
      </c>
      <c r="F632" s="2">
        <v>130.16</v>
      </c>
      <c r="G632" t="s">
        <v>900</v>
      </c>
      <c r="H632" t="s">
        <v>14</v>
      </c>
      <c r="I632" t="s">
        <v>14</v>
      </c>
    </row>
    <row r="633" spans="1:9">
      <c r="A633" t="s">
        <v>903</v>
      </c>
      <c r="B633" t="s">
        <v>899</v>
      </c>
      <c r="C633" t="s">
        <v>233</v>
      </c>
      <c r="D633" s="1">
        <v>20.66</v>
      </c>
      <c r="E633" s="2">
        <v>3.25</v>
      </c>
      <c r="F633" s="2">
        <v>67.14</v>
      </c>
      <c r="G633" t="s">
        <v>900</v>
      </c>
      <c r="H633" t="s">
        <v>14</v>
      </c>
      <c r="I633" t="s">
        <v>14</v>
      </c>
    </row>
    <row r="634" spans="1:9">
      <c r="A634" t="s">
        <v>904</v>
      </c>
      <c r="B634" t="s">
        <v>899</v>
      </c>
      <c r="C634" t="s">
        <v>398</v>
      </c>
      <c r="D634" s="1">
        <v>20.61</v>
      </c>
      <c r="E634" s="2">
        <v>6.1</v>
      </c>
      <c r="F634" s="2">
        <v>125.72</v>
      </c>
      <c r="G634" t="s">
        <v>900</v>
      </c>
      <c r="H634" t="s">
        <v>14</v>
      </c>
      <c r="I634" t="s">
        <v>14</v>
      </c>
    </row>
    <row r="635" spans="1:9">
      <c r="A635" t="s">
        <v>905</v>
      </c>
      <c r="B635" t="s">
        <v>899</v>
      </c>
      <c r="C635" t="s">
        <v>384</v>
      </c>
      <c r="D635" s="1">
        <v>20.61</v>
      </c>
      <c r="E635" s="2">
        <v>5.35</v>
      </c>
      <c r="F635" s="2">
        <v>110.26</v>
      </c>
      <c r="G635" t="s">
        <v>900</v>
      </c>
      <c r="H635" t="s">
        <v>14</v>
      </c>
      <c r="I635" t="s">
        <v>14</v>
      </c>
    </row>
    <row r="636" spans="1:9">
      <c r="A636" t="s">
        <v>906</v>
      </c>
      <c r="B636" t="s">
        <v>899</v>
      </c>
      <c r="C636" t="s">
        <v>907</v>
      </c>
      <c r="D636" s="1">
        <v>20.65</v>
      </c>
      <c r="E636" s="2">
        <v>5.6</v>
      </c>
      <c r="F636" s="2">
        <v>115.64</v>
      </c>
      <c r="G636" t="s">
        <v>900</v>
      </c>
      <c r="H636" t="s">
        <v>14</v>
      </c>
      <c r="I636" t="s">
        <v>14</v>
      </c>
    </row>
    <row r="637" spans="1:9">
      <c r="A637" t="s">
        <v>908</v>
      </c>
      <c r="B637" t="s">
        <v>899</v>
      </c>
      <c r="C637" t="s">
        <v>384</v>
      </c>
      <c r="D637" s="1">
        <v>20.61</v>
      </c>
      <c r="E637" s="2">
        <v>5.35</v>
      </c>
      <c r="F637" s="2">
        <v>110.26</v>
      </c>
      <c r="G637" t="s">
        <v>900</v>
      </c>
      <c r="H637" t="s">
        <v>14</v>
      </c>
      <c r="I637" t="s">
        <v>14</v>
      </c>
    </row>
    <row r="638" spans="1:9">
      <c r="A638" t="s">
        <v>909</v>
      </c>
      <c r="B638" t="s">
        <v>899</v>
      </c>
      <c r="C638" t="s">
        <v>217</v>
      </c>
      <c r="D638" s="1">
        <v>20.72</v>
      </c>
      <c r="E638" s="2">
        <v>6.3</v>
      </c>
      <c r="F638" s="2">
        <v>130.54</v>
      </c>
      <c r="G638" t="s">
        <v>900</v>
      </c>
      <c r="H638" t="s">
        <v>14</v>
      </c>
      <c r="I638" t="s">
        <v>14</v>
      </c>
    </row>
    <row r="639" spans="1:9">
      <c r="A639" t="s">
        <v>910</v>
      </c>
      <c r="B639" t="s">
        <v>899</v>
      </c>
      <c r="C639" t="s">
        <v>221</v>
      </c>
      <c r="D639" s="1">
        <v>20.67</v>
      </c>
      <c r="E639" s="2">
        <v>4.3</v>
      </c>
      <c r="F639" s="2">
        <v>88.88</v>
      </c>
      <c r="G639" t="s">
        <v>900</v>
      </c>
      <c r="H639" t="s">
        <v>14</v>
      </c>
      <c r="I639" t="s">
        <v>14</v>
      </c>
    </row>
    <row r="640" spans="1:9">
      <c r="A640" t="s">
        <v>911</v>
      </c>
      <c r="B640" t="s">
        <v>899</v>
      </c>
      <c r="C640" t="s">
        <v>384</v>
      </c>
      <c r="D640" s="1">
        <v>20.67</v>
      </c>
      <c r="E640" s="2">
        <v>5.35</v>
      </c>
      <c r="F640" s="2">
        <v>110.58</v>
      </c>
      <c r="G640" t="s">
        <v>900</v>
      </c>
      <c r="H640" t="s">
        <v>14</v>
      </c>
      <c r="I640" t="s">
        <v>14</v>
      </c>
    </row>
    <row r="641" spans="1:9">
      <c r="A641" t="s">
        <v>912</v>
      </c>
      <c r="B641" t="s">
        <v>899</v>
      </c>
      <c r="C641" t="s">
        <v>913</v>
      </c>
      <c r="D641" s="1">
        <v>20.7</v>
      </c>
      <c r="E641" s="2">
        <v>5.85</v>
      </c>
      <c r="F641" s="2">
        <v>121.09</v>
      </c>
      <c r="G641" t="s">
        <v>900</v>
      </c>
      <c r="H641" t="s">
        <v>14</v>
      </c>
      <c r="I641" t="s">
        <v>14</v>
      </c>
    </row>
    <row r="642" spans="1:9">
      <c r="A642" t="s">
        <v>914</v>
      </c>
      <c r="B642" t="s">
        <v>899</v>
      </c>
      <c r="C642" t="s">
        <v>384</v>
      </c>
      <c r="D642" s="1">
        <v>20.66</v>
      </c>
      <c r="E642" s="2">
        <v>5.35</v>
      </c>
      <c r="F642" s="2">
        <v>110.53</v>
      </c>
      <c r="G642" t="s">
        <v>900</v>
      </c>
      <c r="H642" t="s">
        <v>14</v>
      </c>
      <c r="I642" t="s">
        <v>14</v>
      </c>
    </row>
    <row r="643" spans="1:9">
      <c r="A643" t="s">
        <v>915</v>
      </c>
      <c r="B643" t="s">
        <v>899</v>
      </c>
      <c r="C643" t="s">
        <v>207</v>
      </c>
      <c r="D643" s="1">
        <v>20.62</v>
      </c>
      <c r="E643" s="2">
        <v>4.3</v>
      </c>
      <c r="F643" s="2">
        <v>88.67</v>
      </c>
      <c r="G643" t="s">
        <v>900</v>
      </c>
      <c r="H643" t="s">
        <v>14</v>
      </c>
      <c r="I643" t="s">
        <v>14</v>
      </c>
    </row>
    <row r="644" spans="1:9">
      <c r="A644" t="s">
        <v>916</v>
      </c>
      <c r="B644" t="s">
        <v>899</v>
      </c>
      <c r="C644" t="s">
        <v>235</v>
      </c>
      <c r="D644" s="1">
        <v>20.69</v>
      </c>
      <c r="E644" s="2">
        <v>6.1</v>
      </c>
      <c r="F644" s="2">
        <v>126.21</v>
      </c>
      <c r="G644" t="s">
        <v>900</v>
      </c>
      <c r="H644" t="s">
        <v>14</v>
      </c>
      <c r="I644" t="s">
        <v>14</v>
      </c>
    </row>
    <row r="645" spans="1:9">
      <c r="A645" t="s">
        <v>917</v>
      </c>
      <c r="B645" t="s">
        <v>899</v>
      </c>
      <c r="C645" t="s">
        <v>233</v>
      </c>
      <c r="D645" s="1">
        <v>20.67</v>
      </c>
      <c r="E645" s="2">
        <v>3.25</v>
      </c>
      <c r="F645" s="2">
        <v>67.18</v>
      </c>
      <c r="G645" t="s">
        <v>900</v>
      </c>
      <c r="H645" t="s">
        <v>14</v>
      </c>
      <c r="I645" t="s">
        <v>14</v>
      </c>
    </row>
    <row r="646" spans="1:9">
      <c r="A646" t="s">
        <v>918</v>
      </c>
      <c r="B646" t="s">
        <v>899</v>
      </c>
      <c r="C646" t="s">
        <v>919</v>
      </c>
      <c r="D646" s="1">
        <v>20.65</v>
      </c>
      <c r="E646" s="2">
        <v>5.6</v>
      </c>
      <c r="F646" s="2">
        <v>115.64</v>
      </c>
      <c r="G646" t="s">
        <v>900</v>
      </c>
      <c r="H646" t="s">
        <v>14</v>
      </c>
      <c r="I646" t="s">
        <v>14</v>
      </c>
    </row>
    <row r="647" spans="1:9">
      <c r="A647" t="s">
        <v>920</v>
      </c>
      <c r="B647" t="s">
        <v>899</v>
      </c>
      <c r="C647" t="s">
        <v>384</v>
      </c>
      <c r="D647" s="1">
        <v>20.62</v>
      </c>
      <c r="E647" s="2">
        <v>5.35</v>
      </c>
      <c r="F647" s="2">
        <v>110.32</v>
      </c>
      <c r="G647" t="s">
        <v>900</v>
      </c>
      <c r="H647" t="s">
        <v>14</v>
      </c>
      <c r="I647" t="s">
        <v>14</v>
      </c>
    </row>
    <row r="648" spans="1:9">
      <c r="A648" t="s">
        <v>921</v>
      </c>
      <c r="B648" t="s">
        <v>899</v>
      </c>
      <c r="C648" t="s">
        <v>226</v>
      </c>
      <c r="D648" s="1">
        <v>20.39</v>
      </c>
      <c r="E648" s="2">
        <v>5.6</v>
      </c>
      <c r="F648" s="2">
        <v>114.18</v>
      </c>
      <c r="G648" t="s">
        <v>900</v>
      </c>
      <c r="H648" t="s">
        <v>14</v>
      </c>
      <c r="I648" t="s">
        <v>14</v>
      </c>
    </row>
    <row r="649" spans="1:9">
      <c r="A649" t="s">
        <v>922</v>
      </c>
      <c r="B649" t="s">
        <v>899</v>
      </c>
      <c r="C649" t="s">
        <v>384</v>
      </c>
      <c r="D649" s="1">
        <v>20.39</v>
      </c>
      <c r="E649" s="2">
        <v>5.35</v>
      </c>
      <c r="F649" s="2">
        <v>109.09</v>
      </c>
      <c r="G649" t="s">
        <v>900</v>
      </c>
      <c r="H649" t="s">
        <v>14</v>
      </c>
      <c r="I649" t="s">
        <v>14</v>
      </c>
    </row>
    <row r="650" spans="1:9">
      <c r="A650" t="s">
        <v>923</v>
      </c>
      <c r="B650" t="s">
        <v>899</v>
      </c>
      <c r="C650" t="s">
        <v>226</v>
      </c>
      <c r="D650" s="1">
        <v>20.39</v>
      </c>
      <c r="E650" s="2">
        <v>5.6</v>
      </c>
      <c r="F650" s="2">
        <v>114.18</v>
      </c>
      <c r="G650" t="s">
        <v>900</v>
      </c>
      <c r="H650" t="s">
        <v>14</v>
      </c>
      <c r="I650" t="s">
        <v>14</v>
      </c>
    </row>
    <row r="651" spans="1:9">
      <c r="A651" t="s">
        <v>924</v>
      </c>
      <c r="B651" t="s">
        <v>899</v>
      </c>
      <c r="C651" t="s">
        <v>248</v>
      </c>
      <c r="D651" s="1">
        <v>20.4</v>
      </c>
      <c r="E651" s="2">
        <v>5.85</v>
      </c>
      <c r="F651" s="2">
        <v>119.34</v>
      </c>
      <c r="G651" t="s">
        <v>900</v>
      </c>
      <c r="H651" t="s">
        <v>14</v>
      </c>
      <c r="I651" t="s">
        <v>14</v>
      </c>
    </row>
    <row r="652" spans="1:9">
      <c r="A652" t="s">
        <v>925</v>
      </c>
      <c r="B652" t="s">
        <v>899</v>
      </c>
      <c r="C652" t="s">
        <v>219</v>
      </c>
      <c r="D652" s="1">
        <v>20.39</v>
      </c>
      <c r="E652" s="2">
        <v>3.25</v>
      </c>
      <c r="F652" s="2">
        <v>66.27</v>
      </c>
      <c r="G652" t="s">
        <v>900</v>
      </c>
      <c r="H652" t="s">
        <v>14</v>
      </c>
      <c r="I652" t="s">
        <v>14</v>
      </c>
    </row>
    <row r="653" spans="1:9">
      <c r="A653" t="s">
        <v>926</v>
      </c>
      <c r="B653" t="s">
        <v>899</v>
      </c>
      <c r="C653" t="s">
        <v>226</v>
      </c>
      <c r="D653" s="1">
        <v>20.39</v>
      </c>
      <c r="E653" s="2">
        <v>5.6</v>
      </c>
      <c r="F653" s="2">
        <v>114.18</v>
      </c>
      <c r="G653" t="s">
        <v>900</v>
      </c>
      <c r="H653" t="s">
        <v>14</v>
      </c>
      <c r="I653" t="s">
        <v>14</v>
      </c>
    </row>
    <row r="654" spans="1:9">
      <c r="A654" t="s">
        <v>927</v>
      </c>
      <c r="B654" t="s">
        <v>899</v>
      </c>
      <c r="C654" t="s">
        <v>515</v>
      </c>
      <c r="D654" s="1">
        <v>20.36</v>
      </c>
      <c r="E654" s="2">
        <v>6.1</v>
      </c>
      <c r="F654" s="2">
        <v>124.2</v>
      </c>
      <c r="G654" t="s">
        <v>900</v>
      </c>
      <c r="H654" t="s">
        <v>14</v>
      </c>
      <c r="I654" t="s">
        <v>14</v>
      </c>
    </row>
    <row r="655" spans="1:9">
      <c r="A655" t="s">
        <v>928</v>
      </c>
      <c r="B655" t="s">
        <v>899</v>
      </c>
      <c r="C655" t="s">
        <v>217</v>
      </c>
      <c r="D655" s="1">
        <v>20.4</v>
      </c>
      <c r="E655" s="2">
        <v>6.3</v>
      </c>
      <c r="F655" s="2">
        <v>128.52</v>
      </c>
      <c r="G655" t="s">
        <v>900</v>
      </c>
      <c r="H655" t="s">
        <v>14</v>
      </c>
      <c r="I655" t="s">
        <v>14</v>
      </c>
    </row>
    <row r="656" spans="1:9">
      <c r="A656" t="s">
        <v>929</v>
      </c>
      <c r="B656" t="s">
        <v>899</v>
      </c>
      <c r="C656" t="s">
        <v>224</v>
      </c>
      <c r="D656" s="1">
        <v>20.4</v>
      </c>
      <c r="E656" s="2">
        <v>4.45</v>
      </c>
      <c r="F656" s="2">
        <v>90.78</v>
      </c>
      <c r="G656" t="s">
        <v>900</v>
      </c>
      <c r="H656" t="s">
        <v>14</v>
      </c>
      <c r="I656" t="s">
        <v>14</v>
      </c>
    </row>
    <row r="657" spans="1:9">
      <c r="A657" t="s">
        <v>930</v>
      </c>
      <c r="B657" t="s">
        <v>899</v>
      </c>
      <c r="C657" t="s">
        <v>288</v>
      </c>
      <c r="D657" s="1">
        <v>20.38</v>
      </c>
      <c r="E657" s="2">
        <v>6.1</v>
      </c>
      <c r="F657" s="2">
        <v>124.32</v>
      </c>
      <c r="G657" t="s">
        <v>900</v>
      </c>
      <c r="H657" t="s">
        <v>14</v>
      </c>
      <c r="I657" t="s">
        <v>14</v>
      </c>
    </row>
    <row r="658" spans="1:9">
      <c r="A658" t="s">
        <v>931</v>
      </c>
      <c r="B658" t="s">
        <v>899</v>
      </c>
      <c r="C658" t="s">
        <v>235</v>
      </c>
      <c r="D658" s="1">
        <v>20.44</v>
      </c>
      <c r="E658" s="2">
        <v>6.1</v>
      </c>
      <c r="F658" s="2">
        <v>124.68</v>
      </c>
      <c r="G658" t="s">
        <v>900</v>
      </c>
      <c r="H658" t="s">
        <v>14</v>
      </c>
      <c r="I658" t="s">
        <v>14</v>
      </c>
    </row>
    <row r="659" spans="1:9">
      <c r="A659" t="s">
        <v>932</v>
      </c>
      <c r="B659" t="s">
        <v>899</v>
      </c>
      <c r="C659" t="s">
        <v>224</v>
      </c>
      <c r="D659" s="1">
        <v>20.36</v>
      </c>
      <c r="E659" s="2">
        <v>4.45</v>
      </c>
      <c r="F659" s="2">
        <v>90.6</v>
      </c>
      <c r="G659" t="s">
        <v>900</v>
      </c>
      <c r="H659" t="s">
        <v>14</v>
      </c>
      <c r="I659" t="s">
        <v>14</v>
      </c>
    </row>
    <row r="660" spans="1:9">
      <c r="A660" t="s">
        <v>933</v>
      </c>
      <c r="B660" t="s">
        <v>899</v>
      </c>
      <c r="C660" t="s">
        <v>264</v>
      </c>
      <c r="D660" s="1">
        <v>20.38</v>
      </c>
      <c r="E660" s="2">
        <v>5.35</v>
      </c>
      <c r="F660" s="2">
        <v>109.03</v>
      </c>
      <c r="G660" t="s">
        <v>900</v>
      </c>
      <c r="H660" t="s">
        <v>14</v>
      </c>
      <c r="I660" t="s">
        <v>14</v>
      </c>
    </row>
    <row r="661" spans="1:9">
      <c r="A661" t="s">
        <v>934</v>
      </c>
      <c r="B661" t="s">
        <v>899</v>
      </c>
      <c r="C661" t="s">
        <v>215</v>
      </c>
      <c r="D661" s="1">
        <v>20.39</v>
      </c>
      <c r="E661" s="2">
        <v>6.1</v>
      </c>
      <c r="F661" s="2">
        <v>124.38</v>
      </c>
      <c r="G661" t="s">
        <v>900</v>
      </c>
      <c r="H661" t="s">
        <v>14</v>
      </c>
      <c r="I661" t="s">
        <v>14</v>
      </c>
    </row>
    <row r="662" spans="1:9">
      <c r="A662" t="s">
        <v>935</v>
      </c>
      <c r="B662" t="s">
        <v>899</v>
      </c>
      <c r="C662" t="s">
        <v>384</v>
      </c>
      <c r="D662" s="1">
        <v>20.42</v>
      </c>
      <c r="E662" s="2">
        <v>5.35</v>
      </c>
      <c r="F662" s="2">
        <v>109.25</v>
      </c>
      <c r="G662" t="s">
        <v>900</v>
      </c>
      <c r="H662" t="s">
        <v>14</v>
      </c>
      <c r="I662" t="s">
        <v>14</v>
      </c>
    </row>
    <row r="663" spans="1:9">
      <c r="A663" t="s">
        <v>936</v>
      </c>
      <c r="B663" t="s">
        <v>899</v>
      </c>
      <c r="C663" t="s">
        <v>224</v>
      </c>
      <c r="D663" s="1">
        <v>20.37</v>
      </c>
      <c r="E663" s="2">
        <v>4.45</v>
      </c>
      <c r="F663" s="2">
        <v>90.65</v>
      </c>
      <c r="G663" t="s">
        <v>900</v>
      </c>
      <c r="H663" t="s">
        <v>14</v>
      </c>
      <c r="I663" t="s">
        <v>14</v>
      </c>
    </row>
    <row r="664" spans="1:9">
      <c r="A664" t="s">
        <v>937</v>
      </c>
      <c r="B664" t="s">
        <v>899</v>
      </c>
      <c r="C664" t="s">
        <v>235</v>
      </c>
      <c r="D664" s="1">
        <v>20.35</v>
      </c>
      <c r="E664" s="2">
        <v>6.1</v>
      </c>
      <c r="F664" s="2">
        <v>124.14</v>
      </c>
      <c r="G664" t="s">
        <v>900</v>
      </c>
      <c r="H664" t="s">
        <v>14</v>
      </c>
      <c r="I664" t="s">
        <v>14</v>
      </c>
    </row>
    <row r="665" spans="1:9">
      <c r="A665" t="s">
        <v>938</v>
      </c>
      <c r="B665" t="s">
        <v>939</v>
      </c>
      <c r="C665" t="s">
        <v>592</v>
      </c>
      <c r="D665" s="1">
        <v>20.67</v>
      </c>
      <c r="E665" s="2">
        <v>4.45</v>
      </c>
      <c r="F665" s="2">
        <v>91.98</v>
      </c>
      <c r="G665" t="s">
        <v>940</v>
      </c>
      <c r="H665" t="s">
        <v>14</v>
      </c>
      <c r="I665" t="s">
        <v>14</v>
      </c>
    </row>
    <row r="666" spans="1:9">
      <c r="A666" t="s">
        <v>941</v>
      </c>
      <c r="B666" t="s">
        <v>939</v>
      </c>
      <c r="C666" t="s">
        <v>583</v>
      </c>
      <c r="D666" s="1">
        <v>20.54</v>
      </c>
      <c r="E666" s="2">
        <v>4.1</v>
      </c>
      <c r="F666" s="2">
        <v>84.21</v>
      </c>
      <c r="G666" t="s">
        <v>940</v>
      </c>
      <c r="H666" t="s">
        <v>14</v>
      </c>
      <c r="I666" t="s">
        <v>14</v>
      </c>
    </row>
    <row r="667" spans="1:9">
      <c r="A667" t="s">
        <v>942</v>
      </c>
      <c r="B667" t="s">
        <v>939</v>
      </c>
      <c r="C667" t="s">
        <v>722</v>
      </c>
      <c r="D667" s="1">
        <v>20.57</v>
      </c>
      <c r="E667" s="2">
        <v>5.85</v>
      </c>
      <c r="F667" s="2">
        <v>120.33</v>
      </c>
      <c r="G667" t="s">
        <v>940</v>
      </c>
      <c r="H667" t="s">
        <v>14</v>
      </c>
      <c r="I667" t="s">
        <v>14</v>
      </c>
    </row>
    <row r="668" spans="1:9">
      <c r="A668" t="s">
        <v>943</v>
      </c>
      <c r="B668" t="s">
        <v>939</v>
      </c>
      <c r="C668" t="s">
        <v>944</v>
      </c>
      <c r="D668" s="1">
        <v>20.69</v>
      </c>
      <c r="E668" s="2">
        <v>5.6</v>
      </c>
      <c r="F668" s="2">
        <v>115.86</v>
      </c>
      <c r="G668" t="s">
        <v>940</v>
      </c>
      <c r="H668" t="s">
        <v>14</v>
      </c>
      <c r="I668" t="s">
        <v>14</v>
      </c>
    </row>
    <row r="669" spans="1:9">
      <c r="A669" t="s">
        <v>945</v>
      </c>
      <c r="B669" t="s">
        <v>939</v>
      </c>
      <c r="C669" t="s">
        <v>576</v>
      </c>
      <c r="D669" s="1">
        <v>20.59</v>
      </c>
      <c r="E669" s="2">
        <v>3.6</v>
      </c>
      <c r="F669" s="2">
        <v>74.12</v>
      </c>
      <c r="G669" t="s">
        <v>940</v>
      </c>
      <c r="H669" t="s">
        <v>14</v>
      </c>
      <c r="I669" t="s">
        <v>14</v>
      </c>
    </row>
    <row r="670" spans="1:9">
      <c r="A670" t="s">
        <v>946</v>
      </c>
      <c r="B670" t="s">
        <v>939</v>
      </c>
      <c r="C670" t="s">
        <v>581</v>
      </c>
      <c r="D670" s="1">
        <v>20.7</v>
      </c>
      <c r="E670" s="2">
        <v>5.05</v>
      </c>
      <c r="F670" s="2">
        <v>104.54</v>
      </c>
      <c r="G670" t="s">
        <v>940</v>
      </c>
      <c r="H670" t="s">
        <v>14</v>
      </c>
      <c r="I670" t="s">
        <v>14</v>
      </c>
    </row>
    <row r="671" spans="1:9">
      <c r="A671" t="s">
        <v>947</v>
      </c>
      <c r="B671" t="s">
        <v>939</v>
      </c>
      <c r="C671" t="s">
        <v>817</v>
      </c>
      <c r="D671" s="1">
        <v>20.66</v>
      </c>
      <c r="E671" s="2">
        <v>4.3</v>
      </c>
      <c r="F671" s="2">
        <v>88.84</v>
      </c>
      <c r="G671" t="s">
        <v>940</v>
      </c>
      <c r="H671" t="s">
        <v>14</v>
      </c>
      <c r="I671" t="s">
        <v>14</v>
      </c>
    </row>
    <row r="672" spans="1:9">
      <c r="A672" t="s">
        <v>948</v>
      </c>
      <c r="B672" t="s">
        <v>939</v>
      </c>
      <c r="C672" t="s">
        <v>944</v>
      </c>
      <c r="D672" s="1">
        <v>20.61</v>
      </c>
      <c r="E672" s="2">
        <v>5.6</v>
      </c>
      <c r="F672" s="2">
        <v>115.42</v>
      </c>
      <c r="G672" t="s">
        <v>940</v>
      </c>
      <c r="H672" t="s">
        <v>14</v>
      </c>
      <c r="I672" t="s">
        <v>14</v>
      </c>
    </row>
    <row r="673" spans="1:9">
      <c r="A673" t="s">
        <v>949</v>
      </c>
      <c r="B673" t="s">
        <v>939</v>
      </c>
      <c r="C673" t="s">
        <v>583</v>
      </c>
      <c r="D673" s="1">
        <v>20.68</v>
      </c>
      <c r="E673" s="2">
        <v>4.1</v>
      </c>
      <c r="F673" s="2">
        <v>84.79</v>
      </c>
      <c r="G673" t="s">
        <v>940</v>
      </c>
      <c r="H673" t="s">
        <v>14</v>
      </c>
      <c r="I673" t="s">
        <v>14</v>
      </c>
    </row>
    <row r="674" spans="1:9">
      <c r="A674" t="s">
        <v>950</v>
      </c>
      <c r="B674" t="s">
        <v>939</v>
      </c>
      <c r="C674" t="s">
        <v>583</v>
      </c>
      <c r="D674" s="1">
        <v>20.61</v>
      </c>
      <c r="E674" s="2">
        <v>4.1</v>
      </c>
      <c r="F674" s="2">
        <v>84.5</v>
      </c>
      <c r="G674" t="s">
        <v>940</v>
      </c>
      <c r="H674" t="s">
        <v>14</v>
      </c>
      <c r="I674" t="s">
        <v>14</v>
      </c>
    </row>
    <row r="675" spans="1:9">
      <c r="A675" t="s">
        <v>951</v>
      </c>
      <c r="B675" t="s">
        <v>939</v>
      </c>
      <c r="C675" t="s">
        <v>885</v>
      </c>
      <c r="D675" s="1">
        <v>20.53</v>
      </c>
      <c r="E675" s="2">
        <v>5.85</v>
      </c>
      <c r="F675" s="2">
        <v>120.1</v>
      </c>
      <c r="G675" t="s">
        <v>940</v>
      </c>
      <c r="H675" t="s">
        <v>14</v>
      </c>
      <c r="I675" t="s">
        <v>14</v>
      </c>
    </row>
    <row r="676" spans="1:9">
      <c r="A676" t="s">
        <v>952</v>
      </c>
      <c r="B676" t="s">
        <v>939</v>
      </c>
      <c r="C676" t="s">
        <v>590</v>
      </c>
      <c r="D676" s="1">
        <v>20.52</v>
      </c>
      <c r="E676" s="2">
        <v>4.3</v>
      </c>
      <c r="F676" s="2">
        <v>88.24</v>
      </c>
      <c r="G676" t="s">
        <v>940</v>
      </c>
      <c r="H676" t="s">
        <v>14</v>
      </c>
      <c r="I676" t="s">
        <v>14</v>
      </c>
    </row>
    <row r="677" spans="1:9">
      <c r="A677" t="s">
        <v>953</v>
      </c>
      <c r="B677" t="s">
        <v>939</v>
      </c>
      <c r="C677" t="s">
        <v>71</v>
      </c>
      <c r="D677" s="1">
        <v>20.69</v>
      </c>
      <c r="E677" s="2">
        <v>5.85</v>
      </c>
      <c r="F677" s="2">
        <v>121.04</v>
      </c>
      <c r="G677" t="s">
        <v>940</v>
      </c>
      <c r="H677" t="s">
        <v>14</v>
      </c>
      <c r="I677" t="s">
        <v>14</v>
      </c>
    </row>
    <row r="678" spans="1:9">
      <c r="A678" t="s">
        <v>954</v>
      </c>
      <c r="B678" t="s">
        <v>939</v>
      </c>
      <c r="C678" t="s">
        <v>579</v>
      </c>
      <c r="D678" s="1">
        <v>20.51</v>
      </c>
      <c r="E678" s="2">
        <v>9.4</v>
      </c>
      <c r="F678" s="2">
        <v>192.79</v>
      </c>
      <c r="G678" t="s">
        <v>940</v>
      </c>
      <c r="H678" t="s">
        <v>14</v>
      </c>
      <c r="I678" t="s">
        <v>14</v>
      </c>
    </row>
    <row r="679" spans="1:9">
      <c r="A679" t="s">
        <v>955</v>
      </c>
      <c r="B679" t="s">
        <v>939</v>
      </c>
      <c r="C679" t="s">
        <v>583</v>
      </c>
      <c r="D679" s="1">
        <v>20.45</v>
      </c>
      <c r="E679" s="2">
        <v>4.1</v>
      </c>
      <c r="F679" s="2">
        <v>83.84</v>
      </c>
      <c r="G679" t="s">
        <v>940</v>
      </c>
      <c r="H679" t="s">
        <v>14</v>
      </c>
      <c r="I679" t="s">
        <v>14</v>
      </c>
    </row>
    <row r="680" spans="1:9">
      <c r="A680" t="s">
        <v>956</v>
      </c>
      <c r="B680" t="s">
        <v>939</v>
      </c>
      <c r="C680" t="s">
        <v>583</v>
      </c>
      <c r="D680" s="1">
        <v>20.46</v>
      </c>
      <c r="E680" s="2">
        <v>4.1</v>
      </c>
      <c r="F680" s="2">
        <v>83.89</v>
      </c>
      <c r="G680" t="s">
        <v>940</v>
      </c>
      <c r="H680" t="s">
        <v>14</v>
      </c>
      <c r="I680" t="s">
        <v>14</v>
      </c>
    </row>
    <row r="681" spans="1:9">
      <c r="A681" t="s">
        <v>957</v>
      </c>
      <c r="B681" t="s">
        <v>939</v>
      </c>
      <c r="C681" t="s">
        <v>627</v>
      </c>
      <c r="D681" s="1">
        <v>20.4</v>
      </c>
      <c r="E681" s="2">
        <v>4.1</v>
      </c>
      <c r="F681" s="2">
        <v>83.64</v>
      </c>
      <c r="G681" t="s">
        <v>940</v>
      </c>
      <c r="H681" t="s">
        <v>14</v>
      </c>
      <c r="I681" t="s">
        <v>14</v>
      </c>
    </row>
    <row r="682" spans="1:9">
      <c r="A682" t="s">
        <v>958</v>
      </c>
      <c r="B682" t="s">
        <v>939</v>
      </c>
      <c r="C682" t="s">
        <v>592</v>
      </c>
      <c r="D682" s="1">
        <v>20.44</v>
      </c>
      <c r="E682" s="2">
        <v>4.45</v>
      </c>
      <c r="F682" s="2">
        <v>90.96</v>
      </c>
      <c r="G682" t="s">
        <v>940</v>
      </c>
      <c r="H682" t="s">
        <v>14</v>
      </c>
      <c r="I682" t="s">
        <v>14</v>
      </c>
    </row>
    <row r="683" spans="1:9">
      <c r="A683" t="s">
        <v>959</v>
      </c>
      <c r="B683" t="s">
        <v>939</v>
      </c>
      <c r="C683" t="s">
        <v>590</v>
      </c>
      <c r="D683" s="1">
        <v>20.5</v>
      </c>
      <c r="E683" s="2">
        <v>4.3</v>
      </c>
      <c r="F683" s="2">
        <v>88.15</v>
      </c>
      <c r="G683" t="s">
        <v>940</v>
      </c>
      <c r="H683" t="s">
        <v>14</v>
      </c>
      <c r="I683" t="s">
        <v>14</v>
      </c>
    </row>
    <row r="684" spans="1:9">
      <c r="A684" t="s">
        <v>960</v>
      </c>
      <c r="B684" t="s">
        <v>939</v>
      </c>
      <c r="C684" t="s">
        <v>583</v>
      </c>
      <c r="D684" s="1">
        <v>20.41</v>
      </c>
      <c r="E684" s="2">
        <v>4.85</v>
      </c>
      <c r="F684" s="2">
        <v>98.99</v>
      </c>
      <c r="G684" t="s">
        <v>940</v>
      </c>
      <c r="H684" t="s">
        <v>14</v>
      </c>
      <c r="I684" t="s">
        <v>14</v>
      </c>
    </row>
    <row r="685" spans="1:9">
      <c r="A685" t="s">
        <v>961</v>
      </c>
      <c r="B685" t="s">
        <v>939</v>
      </c>
      <c r="C685" t="s">
        <v>838</v>
      </c>
      <c r="D685" s="1">
        <v>20.45</v>
      </c>
      <c r="E685" s="2">
        <v>5.6</v>
      </c>
      <c r="F685" s="2">
        <v>114.52</v>
      </c>
      <c r="G685" t="s">
        <v>940</v>
      </c>
      <c r="H685" t="s">
        <v>14</v>
      </c>
      <c r="I685" t="s">
        <v>14</v>
      </c>
    </row>
    <row r="686" spans="1:9">
      <c r="A686" t="s">
        <v>962</v>
      </c>
      <c r="B686" t="s">
        <v>939</v>
      </c>
      <c r="C686" t="s">
        <v>844</v>
      </c>
      <c r="D686" s="1">
        <v>20.46</v>
      </c>
      <c r="E686" s="2">
        <v>3.6</v>
      </c>
      <c r="F686" s="2">
        <v>73.66</v>
      </c>
      <c r="G686" t="s">
        <v>940</v>
      </c>
      <c r="H686" t="s">
        <v>14</v>
      </c>
      <c r="I686" t="s">
        <v>14</v>
      </c>
    </row>
    <row r="687" spans="1:9">
      <c r="A687" t="s">
        <v>963</v>
      </c>
      <c r="B687" t="s">
        <v>939</v>
      </c>
      <c r="C687" t="s">
        <v>842</v>
      </c>
      <c r="D687" s="1">
        <v>20.42</v>
      </c>
      <c r="E687" s="2">
        <v>6.3</v>
      </c>
      <c r="F687" s="2">
        <v>128.65</v>
      </c>
      <c r="G687" t="s">
        <v>940</v>
      </c>
      <c r="H687" t="s">
        <v>14</v>
      </c>
      <c r="I687" t="s">
        <v>14</v>
      </c>
    </row>
    <row r="688" spans="1:9">
      <c r="A688" t="s">
        <v>964</v>
      </c>
      <c r="B688" t="s">
        <v>939</v>
      </c>
      <c r="C688" t="s">
        <v>844</v>
      </c>
      <c r="D688" s="1">
        <v>20.44</v>
      </c>
      <c r="E688" s="2">
        <v>3.6</v>
      </c>
      <c r="F688" s="2">
        <v>73.58</v>
      </c>
      <c r="G688" t="s">
        <v>940</v>
      </c>
      <c r="H688" t="s">
        <v>14</v>
      </c>
      <c r="I688" t="s">
        <v>14</v>
      </c>
    </row>
    <row r="689" spans="1:9">
      <c r="A689" t="s">
        <v>965</v>
      </c>
      <c r="B689" t="s">
        <v>939</v>
      </c>
      <c r="C689" t="s">
        <v>865</v>
      </c>
      <c r="D689" s="1">
        <v>20.41</v>
      </c>
      <c r="E689" s="2">
        <v>4.45</v>
      </c>
      <c r="F689" s="2">
        <v>90.82</v>
      </c>
      <c r="G689" t="s">
        <v>940</v>
      </c>
      <c r="H689" t="s">
        <v>14</v>
      </c>
      <c r="I689" t="s">
        <v>14</v>
      </c>
    </row>
    <row r="690" spans="1:9">
      <c r="A690" t="s">
        <v>966</v>
      </c>
      <c r="B690" t="s">
        <v>939</v>
      </c>
      <c r="C690" t="s">
        <v>722</v>
      </c>
      <c r="D690" s="1">
        <v>20.43</v>
      </c>
      <c r="E690" s="2">
        <v>5.85</v>
      </c>
      <c r="F690" s="2">
        <v>119.52</v>
      </c>
      <c r="G690" t="s">
        <v>940</v>
      </c>
      <c r="H690" t="s">
        <v>14</v>
      </c>
      <c r="I690" t="s">
        <v>14</v>
      </c>
    </row>
    <row r="691" spans="1:9">
      <c r="A691" t="s">
        <v>967</v>
      </c>
      <c r="B691" t="s">
        <v>968</v>
      </c>
      <c r="C691" t="s">
        <v>217</v>
      </c>
      <c r="D691" s="1">
        <v>21.11</v>
      </c>
      <c r="E691" s="2">
        <v>6.3</v>
      </c>
      <c r="F691" s="2">
        <v>132.99</v>
      </c>
      <c r="G691" t="s">
        <v>969</v>
      </c>
      <c r="H691" t="s">
        <v>14</v>
      </c>
      <c r="I691" t="s">
        <v>14</v>
      </c>
    </row>
    <row r="692" spans="1:9">
      <c r="A692" t="s">
        <v>970</v>
      </c>
      <c r="B692" t="s">
        <v>968</v>
      </c>
      <c r="C692" t="s">
        <v>971</v>
      </c>
      <c r="D692" s="1">
        <v>21.12</v>
      </c>
      <c r="E692" s="2">
        <v>3.6</v>
      </c>
      <c r="F692" s="2">
        <v>76.03</v>
      </c>
      <c r="G692" t="s">
        <v>969</v>
      </c>
      <c r="H692" t="s">
        <v>14</v>
      </c>
      <c r="I692" t="s">
        <v>14</v>
      </c>
    </row>
    <row r="693" spans="1:9">
      <c r="A693" t="s">
        <v>972</v>
      </c>
      <c r="B693" t="s">
        <v>968</v>
      </c>
      <c r="C693" t="s">
        <v>398</v>
      </c>
      <c r="D693" s="1">
        <v>21.14</v>
      </c>
      <c r="E693" s="2">
        <v>6.1</v>
      </c>
      <c r="F693" s="2">
        <v>128.95</v>
      </c>
      <c r="G693" t="s">
        <v>969</v>
      </c>
      <c r="H693" t="s">
        <v>14</v>
      </c>
      <c r="I693" t="s">
        <v>14</v>
      </c>
    </row>
    <row r="694" spans="1:9">
      <c r="A694" t="s">
        <v>973</v>
      </c>
      <c r="B694" t="s">
        <v>968</v>
      </c>
      <c r="C694" t="s">
        <v>226</v>
      </c>
      <c r="D694" s="1">
        <v>21.12</v>
      </c>
      <c r="E694" s="2">
        <v>5.6</v>
      </c>
      <c r="F694" s="2">
        <v>118.27</v>
      </c>
      <c r="G694" t="s">
        <v>969</v>
      </c>
      <c r="H694" t="s">
        <v>14</v>
      </c>
      <c r="I694" t="s">
        <v>14</v>
      </c>
    </row>
    <row r="695" spans="1:9">
      <c r="A695" t="s">
        <v>974</v>
      </c>
      <c r="B695" t="s">
        <v>968</v>
      </c>
      <c r="C695" t="s">
        <v>389</v>
      </c>
      <c r="D695" s="1">
        <v>21.16</v>
      </c>
      <c r="E695" s="2">
        <v>4.1</v>
      </c>
      <c r="F695" s="2">
        <v>86.76</v>
      </c>
      <c r="G695" t="s">
        <v>969</v>
      </c>
      <c r="H695" t="s">
        <v>14</v>
      </c>
      <c r="I695" t="s">
        <v>14</v>
      </c>
    </row>
    <row r="696" spans="1:9">
      <c r="A696" t="s">
        <v>975</v>
      </c>
      <c r="B696" t="s">
        <v>968</v>
      </c>
      <c r="C696" t="s">
        <v>253</v>
      </c>
      <c r="D696" s="1">
        <v>21.1</v>
      </c>
      <c r="E696" s="2">
        <v>5.85</v>
      </c>
      <c r="F696" s="2">
        <v>123.44</v>
      </c>
      <c r="G696" t="s">
        <v>969</v>
      </c>
      <c r="H696" t="s">
        <v>14</v>
      </c>
      <c r="I696" t="s">
        <v>14</v>
      </c>
    </row>
    <row r="697" spans="1:9">
      <c r="A697" t="s">
        <v>976</v>
      </c>
      <c r="B697" t="s">
        <v>968</v>
      </c>
      <c r="C697" t="s">
        <v>224</v>
      </c>
      <c r="D697" s="1">
        <v>21.16</v>
      </c>
      <c r="E697" s="2">
        <v>4.45</v>
      </c>
      <c r="F697" s="2">
        <v>94.16</v>
      </c>
      <c r="G697" t="s">
        <v>969</v>
      </c>
      <c r="H697" t="s">
        <v>14</v>
      </c>
      <c r="I697" t="s">
        <v>14</v>
      </c>
    </row>
    <row r="698" spans="1:9">
      <c r="A698" t="s">
        <v>977</v>
      </c>
      <c r="B698" t="s">
        <v>968</v>
      </c>
      <c r="C698" t="s">
        <v>215</v>
      </c>
      <c r="D698" s="1">
        <v>21.12</v>
      </c>
      <c r="E698" s="2">
        <v>6.1</v>
      </c>
      <c r="F698" s="2">
        <v>128.83</v>
      </c>
      <c r="G698" t="s">
        <v>969</v>
      </c>
      <c r="H698" t="s">
        <v>14</v>
      </c>
      <c r="I698" t="s">
        <v>14</v>
      </c>
    </row>
    <row r="699" spans="1:9">
      <c r="A699" t="s">
        <v>978</v>
      </c>
      <c r="B699" t="s">
        <v>979</v>
      </c>
      <c r="C699" t="s">
        <v>980</v>
      </c>
      <c r="D699" s="1">
        <v>20.67</v>
      </c>
      <c r="E699" s="2">
        <v>4.45</v>
      </c>
      <c r="F699" s="2">
        <v>91.98</v>
      </c>
      <c r="G699" t="s">
        <v>981</v>
      </c>
      <c r="H699" t="s">
        <v>982</v>
      </c>
      <c r="I699" t="s">
        <v>982</v>
      </c>
    </row>
    <row r="700" spans="1:9">
      <c r="A700" t="s">
        <v>983</v>
      </c>
      <c r="B700" t="s">
        <v>979</v>
      </c>
      <c r="C700" t="s">
        <v>215</v>
      </c>
      <c r="D700" s="1">
        <v>20.47</v>
      </c>
      <c r="E700" s="2">
        <v>6.1</v>
      </c>
      <c r="F700" s="2">
        <v>124.87</v>
      </c>
      <c r="G700" t="s">
        <v>981</v>
      </c>
      <c r="H700" t="s">
        <v>14</v>
      </c>
      <c r="I700" t="s">
        <v>14</v>
      </c>
    </row>
    <row r="701" spans="1:9">
      <c r="A701" t="s">
        <v>984</v>
      </c>
      <c r="B701" t="s">
        <v>979</v>
      </c>
      <c r="C701" t="s">
        <v>233</v>
      </c>
      <c r="D701" s="1">
        <v>20.6</v>
      </c>
      <c r="E701" s="2">
        <v>3.25</v>
      </c>
      <c r="F701" s="2">
        <v>66.95</v>
      </c>
      <c r="G701" t="s">
        <v>981</v>
      </c>
      <c r="H701" t="s">
        <v>14</v>
      </c>
      <c r="I701" t="s">
        <v>14</v>
      </c>
    </row>
    <row r="702" spans="1:9">
      <c r="A702" t="s">
        <v>985</v>
      </c>
      <c r="B702" t="s">
        <v>979</v>
      </c>
      <c r="C702" t="s">
        <v>235</v>
      </c>
      <c r="D702" s="1">
        <v>20.51</v>
      </c>
      <c r="E702" s="2">
        <v>6.1</v>
      </c>
      <c r="F702" s="2">
        <v>125.11</v>
      </c>
      <c r="G702" t="s">
        <v>981</v>
      </c>
      <c r="H702" t="s">
        <v>14</v>
      </c>
      <c r="I702" t="s">
        <v>14</v>
      </c>
    </row>
    <row r="703" spans="1:9">
      <c r="A703" t="s">
        <v>986</v>
      </c>
      <c r="B703" t="s">
        <v>979</v>
      </c>
      <c r="C703" t="s">
        <v>229</v>
      </c>
      <c r="D703" s="1">
        <v>20.49</v>
      </c>
      <c r="E703" s="2">
        <v>4.45</v>
      </c>
      <c r="F703" s="2">
        <v>91.18</v>
      </c>
      <c r="G703" t="s">
        <v>981</v>
      </c>
      <c r="H703" t="s">
        <v>14</v>
      </c>
      <c r="I703" t="s">
        <v>14</v>
      </c>
    </row>
    <row r="704" spans="1:9">
      <c r="A704" t="s">
        <v>987</v>
      </c>
      <c r="B704" t="s">
        <v>979</v>
      </c>
      <c r="C704" t="s">
        <v>211</v>
      </c>
      <c r="D704" s="1">
        <v>20.51</v>
      </c>
      <c r="E704" s="2">
        <v>4.85</v>
      </c>
      <c r="F704" s="2">
        <v>99.47</v>
      </c>
      <c r="G704" t="s">
        <v>981</v>
      </c>
      <c r="H704" t="s">
        <v>14</v>
      </c>
      <c r="I704" t="s">
        <v>14</v>
      </c>
    </row>
    <row r="705" spans="1:9">
      <c r="A705" t="s">
        <v>988</v>
      </c>
      <c r="B705" t="s">
        <v>979</v>
      </c>
      <c r="C705" t="s">
        <v>989</v>
      </c>
      <c r="D705" s="1">
        <v>20.49</v>
      </c>
      <c r="E705" s="2">
        <v>6.1</v>
      </c>
      <c r="F705" s="2">
        <v>124.99</v>
      </c>
      <c r="G705" t="s">
        <v>981</v>
      </c>
      <c r="H705" t="s">
        <v>14</v>
      </c>
      <c r="I705" t="s">
        <v>14</v>
      </c>
    </row>
    <row r="706" spans="1:9">
      <c r="A706" t="s">
        <v>990</v>
      </c>
      <c r="B706" t="s">
        <v>979</v>
      </c>
      <c r="C706" t="s">
        <v>428</v>
      </c>
      <c r="D706" s="1">
        <v>20.44</v>
      </c>
      <c r="E706" s="2">
        <v>4.45</v>
      </c>
      <c r="F706" s="2">
        <v>90.96</v>
      </c>
      <c r="G706" t="s">
        <v>981</v>
      </c>
      <c r="H706" t="s">
        <v>14</v>
      </c>
      <c r="I706" t="s">
        <v>14</v>
      </c>
    </row>
    <row r="707" spans="1:9">
      <c r="A707" t="s">
        <v>991</v>
      </c>
      <c r="B707" t="s">
        <v>979</v>
      </c>
      <c r="C707" t="s">
        <v>518</v>
      </c>
      <c r="D707" s="1">
        <v>20.5</v>
      </c>
      <c r="E707" s="2">
        <v>4.3</v>
      </c>
      <c r="F707" s="2">
        <v>88.15</v>
      </c>
      <c r="G707" t="s">
        <v>981</v>
      </c>
      <c r="H707" t="s">
        <v>14</v>
      </c>
      <c r="I707" t="s">
        <v>14</v>
      </c>
    </row>
    <row r="708" spans="1:9">
      <c r="A708" t="s">
        <v>992</v>
      </c>
      <c r="B708" t="s">
        <v>979</v>
      </c>
      <c r="C708" t="s">
        <v>913</v>
      </c>
      <c r="D708" s="1">
        <v>20.5</v>
      </c>
      <c r="E708" s="2">
        <v>5.85</v>
      </c>
      <c r="F708" s="2">
        <v>119.92</v>
      </c>
      <c r="G708" t="s">
        <v>981</v>
      </c>
      <c r="H708" t="s">
        <v>14</v>
      </c>
      <c r="I708" t="s">
        <v>14</v>
      </c>
    </row>
    <row r="709" spans="1:9">
      <c r="A709" t="s">
        <v>993</v>
      </c>
      <c r="B709" t="s">
        <v>979</v>
      </c>
      <c r="C709" t="s">
        <v>219</v>
      </c>
      <c r="D709" s="1">
        <v>20.51</v>
      </c>
      <c r="E709" s="2">
        <v>3.25</v>
      </c>
      <c r="F709" s="2">
        <v>66.66</v>
      </c>
      <c r="G709" t="s">
        <v>981</v>
      </c>
      <c r="H709" t="s">
        <v>14</v>
      </c>
      <c r="I709" t="s">
        <v>14</v>
      </c>
    </row>
    <row r="710" spans="1:9">
      <c r="A710" t="s">
        <v>994</v>
      </c>
      <c r="B710" t="s">
        <v>979</v>
      </c>
      <c r="C710" t="s">
        <v>995</v>
      </c>
      <c r="D710" s="1">
        <v>20.56</v>
      </c>
      <c r="E710" s="2">
        <v>5.6</v>
      </c>
      <c r="F710" s="2">
        <v>115.14</v>
      </c>
      <c r="G710" t="s">
        <v>981</v>
      </c>
      <c r="H710" t="s">
        <v>14</v>
      </c>
      <c r="I710" t="s">
        <v>14</v>
      </c>
    </row>
    <row r="711" spans="1:9">
      <c r="A711" t="s">
        <v>996</v>
      </c>
      <c r="B711" t="s">
        <v>979</v>
      </c>
      <c r="C711" t="s">
        <v>384</v>
      </c>
      <c r="D711" s="1">
        <v>20.5</v>
      </c>
      <c r="E711" s="2">
        <v>5.35</v>
      </c>
      <c r="F711" s="2">
        <v>109.68</v>
      </c>
      <c r="G711" t="s">
        <v>981</v>
      </c>
      <c r="H711" t="s">
        <v>14</v>
      </c>
      <c r="I711" t="s">
        <v>14</v>
      </c>
    </row>
    <row r="712" spans="1:9">
      <c r="A712" t="s">
        <v>997</v>
      </c>
      <c r="B712" t="s">
        <v>979</v>
      </c>
      <c r="C712" t="s">
        <v>913</v>
      </c>
      <c r="D712" s="1">
        <v>20.52</v>
      </c>
      <c r="E712" s="2">
        <v>5.85</v>
      </c>
      <c r="F712" s="2">
        <v>120.04</v>
      </c>
      <c r="G712" t="s">
        <v>981</v>
      </c>
      <c r="H712" t="s">
        <v>14</v>
      </c>
      <c r="I712" t="s">
        <v>14</v>
      </c>
    </row>
    <row r="713" spans="1:9">
      <c r="A713" t="s">
        <v>998</v>
      </c>
      <c r="B713" t="s">
        <v>979</v>
      </c>
      <c r="C713" t="s">
        <v>384</v>
      </c>
      <c r="D713" s="1">
        <v>20.51</v>
      </c>
      <c r="E713" s="2">
        <v>5.35</v>
      </c>
      <c r="F713" s="2">
        <v>109.73</v>
      </c>
      <c r="G713" t="s">
        <v>981</v>
      </c>
      <c r="H713" t="s">
        <v>14</v>
      </c>
      <c r="I713" t="s">
        <v>14</v>
      </c>
    </row>
    <row r="714" spans="1:9">
      <c r="A714" t="s">
        <v>999</v>
      </c>
      <c r="B714" t="s">
        <v>979</v>
      </c>
      <c r="C714" t="s">
        <v>233</v>
      </c>
      <c r="D714" s="1">
        <v>20.54</v>
      </c>
      <c r="E714" s="2">
        <v>3.25</v>
      </c>
      <c r="F714" s="2">
        <v>66.76</v>
      </c>
      <c r="G714" t="s">
        <v>981</v>
      </c>
      <c r="H714" t="s">
        <v>14</v>
      </c>
      <c r="I714" t="s">
        <v>14</v>
      </c>
    </row>
    <row r="715" spans="1:9">
      <c r="A715" t="s">
        <v>1000</v>
      </c>
      <c r="B715" t="s">
        <v>979</v>
      </c>
      <c r="C715" t="s">
        <v>398</v>
      </c>
      <c r="D715" s="1">
        <v>20.56</v>
      </c>
      <c r="E715" s="2">
        <v>6.1</v>
      </c>
      <c r="F715" s="2">
        <v>125.42</v>
      </c>
      <c r="G715" t="s">
        <v>981</v>
      </c>
      <c r="H715" t="s">
        <v>14</v>
      </c>
      <c r="I715" t="s">
        <v>14</v>
      </c>
    </row>
    <row r="716" spans="1:9">
      <c r="A716" t="s">
        <v>1001</v>
      </c>
      <c r="B716" t="s">
        <v>979</v>
      </c>
      <c r="C716" t="s">
        <v>204</v>
      </c>
      <c r="D716" s="1">
        <v>20.54</v>
      </c>
      <c r="E716" s="2">
        <v>4.3</v>
      </c>
      <c r="F716" s="2">
        <v>88.32</v>
      </c>
      <c r="G716" t="s">
        <v>981</v>
      </c>
      <c r="H716" t="s">
        <v>14</v>
      </c>
      <c r="I716" t="s">
        <v>14</v>
      </c>
    </row>
    <row r="717" spans="1:9">
      <c r="A717" t="s">
        <v>1002</v>
      </c>
      <c r="B717" t="s">
        <v>979</v>
      </c>
      <c r="C717" t="s">
        <v>235</v>
      </c>
      <c r="D717" s="1">
        <v>20.52</v>
      </c>
      <c r="E717" s="2">
        <v>6.1</v>
      </c>
      <c r="F717" s="2">
        <v>125.17</v>
      </c>
      <c r="G717" t="s">
        <v>981</v>
      </c>
      <c r="H717" t="s">
        <v>14</v>
      </c>
      <c r="I717" t="s">
        <v>14</v>
      </c>
    </row>
    <row r="718" spans="1:9">
      <c r="A718" t="s">
        <v>1003</v>
      </c>
      <c r="B718" t="s">
        <v>979</v>
      </c>
      <c r="C718" t="s">
        <v>233</v>
      </c>
      <c r="D718" s="1">
        <v>20.47</v>
      </c>
      <c r="E718" s="2">
        <v>3.25</v>
      </c>
      <c r="F718" s="2">
        <v>66.53</v>
      </c>
      <c r="G718" t="s">
        <v>981</v>
      </c>
      <c r="H718" t="s">
        <v>14</v>
      </c>
      <c r="I718" t="s">
        <v>14</v>
      </c>
    </row>
    <row r="719" spans="1:9">
      <c r="A719" t="s">
        <v>1004</v>
      </c>
      <c r="B719" t="s">
        <v>979</v>
      </c>
      <c r="C719" t="s">
        <v>235</v>
      </c>
      <c r="D719" s="1">
        <v>20.55</v>
      </c>
      <c r="E719" s="2">
        <v>6.1</v>
      </c>
      <c r="F719" s="2">
        <v>125.36</v>
      </c>
      <c r="G719" t="s">
        <v>981</v>
      </c>
      <c r="H719" t="s">
        <v>14</v>
      </c>
      <c r="I719" t="s">
        <v>14</v>
      </c>
    </row>
    <row r="720" spans="1:9">
      <c r="A720" t="s">
        <v>1005</v>
      </c>
      <c r="B720" t="s">
        <v>979</v>
      </c>
      <c r="C720" t="s">
        <v>204</v>
      </c>
      <c r="D720" s="1">
        <v>20.56</v>
      </c>
      <c r="E720" s="2">
        <v>4.3</v>
      </c>
      <c r="F720" s="2">
        <v>88.41</v>
      </c>
      <c r="G720" t="s">
        <v>981</v>
      </c>
      <c r="H720" t="s">
        <v>14</v>
      </c>
      <c r="I720" t="s">
        <v>14</v>
      </c>
    </row>
    <row r="721" spans="1:9">
      <c r="A721" t="s">
        <v>1006</v>
      </c>
      <c r="B721" t="s">
        <v>979</v>
      </c>
      <c r="C721" t="s">
        <v>1007</v>
      </c>
      <c r="D721" s="1">
        <v>20.69</v>
      </c>
      <c r="E721" s="2">
        <v>4.45</v>
      </c>
      <c r="F721" s="2">
        <v>92.07</v>
      </c>
      <c r="G721" t="s">
        <v>981</v>
      </c>
      <c r="H721" t="s">
        <v>14</v>
      </c>
      <c r="I721" t="s">
        <v>14</v>
      </c>
    </row>
    <row r="722" spans="1:9">
      <c r="A722" t="s">
        <v>1008</v>
      </c>
      <c r="B722" t="s">
        <v>979</v>
      </c>
      <c r="C722" t="s">
        <v>224</v>
      </c>
      <c r="D722" s="1">
        <v>20.62</v>
      </c>
      <c r="E722" s="2">
        <v>4.45</v>
      </c>
      <c r="F722" s="2">
        <v>91.76</v>
      </c>
      <c r="G722" t="s">
        <v>981</v>
      </c>
      <c r="H722" t="s">
        <v>14</v>
      </c>
      <c r="I722" t="s">
        <v>14</v>
      </c>
    </row>
    <row r="723" spans="1:9">
      <c r="A723" t="s">
        <v>1009</v>
      </c>
      <c r="B723" t="s">
        <v>979</v>
      </c>
      <c r="C723" t="s">
        <v>284</v>
      </c>
      <c r="D723" s="1">
        <v>20.7</v>
      </c>
      <c r="E723" s="2">
        <v>5.05</v>
      </c>
      <c r="F723" s="2">
        <v>104.54</v>
      </c>
      <c r="G723" t="s">
        <v>981</v>
      </c>
      <c r="H723" t="s">
        <v>14</v>
      </c>
      <c r="I723" t="s">
        <v>14</v>
      </c>
    </row>
    <row r="724" spans="1:9">
      <c r="A724" t="s">
        <v>1010</v>
      </c>
      <c r="B724" t="s">
        <v>979</v>
      </c>
      <c r="C724" t="s">
        <v>209</v>
      </c>
      <c r="D724" s="1">
        <v>20.7</v>
      </c>
      <c r="E724" s="2">
        <v>4.45</v>
      </c>
      <c r="F724" s="2">
        <v>92.12</v>
      </c>
      <c r="G724" t="s">
        <v>981</v>
      </c>
      <c r="H724" t="s">
        <v>14</v>
      </c>
      <c r="I724" t="s">
        <v>14</v>
      </c>
    </row>
    <row r="725" spans="1:9">
      <c r="A725" t="s">
        <v>1011</v>
      </c>
      <c r="B725" t="s">
        <v>979</v>
      </c>
      <c r="C725" t="s">
        <v>217</v>
      </c>
      <c r="D725" s="1">
        <v>20.66</v>
      </c>
      <c r="E725" s="2">
        <v>6.3</v>
      </c>
      <c r="F725" s="2">
        <v>130.16</v>
      </c>
      <c r="G725" t="s">
        <v>981</v>
      </c>
      <c r="H725" t="s">
        <v>14</v>
      </c>
      <c r="I725" t="s">
        <v>14</v>
      </c>
    </row>
    <row r="726" spans="1:9">
      <c r="A726" t="s">
        <v>1012</v>
      </c>
      <c r="B726" t="s">
        <v>979</v>
      </c>
      <c r="C726" t="s">
        <v>1013</v>
      </c>
      <c r="D726" s="1">
        <v>20.7</v>
      </c>
      <c r="E726" s="2">
        <v>3.6</v>
      </c>
      <c r="F726" s="2">
        <v>74.52</v>
      </c>
      <c r="G726" t="s">
        <v>981</v>
      </c>
      <c r="H726" t="s">
        <v>14</v>
      </c>
      <c r="I726" t="s">
        <v>14</v>
      </c>
    </row>
    <row r="727" spans="1:9">
      <c r="A727" t="s">
        <v>1014</v>
      </c>
      <c r="B727" t="s">
        <v>979</v>
      </c>
      <c r="C727" t="s">
        <v>515</v>
      </c>
      <c r="D727" s="1">
        <v>20.69</v>
      </c>
      <c r="E727" s="2">
        <v>6.1</v>
      </c>
      <c r="F727" s="2">
        <v>126.21</v>
      </c>
      <c r="G727" t="s">
        <v>981</v>
      </c>
      <c r="H727" t="s">
        <v>14</v>
      </c>
      <c r="I727" t="s">
        <v>14</v>
      </c>
    </row>
    <row r="728" spans="1:9">
      <c r="A728" t="s">
        <v>1015</v>
      </c>
      <c r="B728" t="s">
        <v>979</v>
      </c>
      <c r="C728" t="s">
        <v>224</v>
      </c>
      <c r="D728" s="1">
        <v>20.66</v>
      </c>
      <c r="E728" s="2">
        <v>4.45</v>
      </c>
      <c r="F728" s="2">
        <v>91.94</v>
      </c>
      <c r="G728" t="s">
        <v>981</v>
      </c>
      <c r="H728" t="s">
        <v>14</v>
      </c>
      <c r="I728" t="s">
        <v>14</v>
      </c>
    </row>
    <row r="729" spans="1:9">
      <c r="A729" t="s">
        <v>1016</v>
      </c>
      <c r="B729" t="s">
        <v>979</v>
      </c>
      <c r="C729" t="s">
        <v>248</v>
      </c>
      <c r="D729" s="1">
        <v>20.79</v>
      </c>
      <c r="E729" s="2">
        <v>5.85</v>
      </c>
      <c r="F729" s="2">
        <v>121.62</v>
      </c>
      <c r="G729" t="s">
        <v>981</v>
      </c>
      <c r="H729" t="s">
        <v>14</v>
      </c>
      <c r="I729" t="s">
        <v>14</v>
      </c>
    </row>
    <row r="730" spans="1:9">
      <c r="A730" t="s">
        <v>1017</v>
      </c>
      <c r="B730" t="s">
        <v>979</v>
      </c>
      <c r="C730" t="s">
        <v>217</v>
      </c>
      <c r="D730" s="1">
        <v>20.64</v>
      </c>
      <c r="E730" s="2">
        <v>6.3</v>
      </c>
      <c r="F730" s="2">
        <v>130.03</v>
      </c>
      <c r="G730" t="s">
        <v>981</v>
      </c>
      <c r="H730" t="s">
        <v>14</v>
      </c>
      <c r="I730" t="s">
        <v>14</v>
      </c>
    </row>
    <row r="731" spans="1:9">
      <c r="A731" t="s">
        <v>1018</v>
      </c>
      <c r="B731" t="s">
        <v>979</v>
      </c>
      <c r="C731" t="s">
        <v>221</v>
      </c>
      <c r="D731" s="1">
        <v>20.67</v>
      </c>
      <c r="E731" s="2">
        <v>4.3</v>
      </c>
      <c r="F731" s="2">
        <v>88.88</v>
      </c>
      <c r="G731" t="s">
        <v>981</v>
      </c>
      <c r="H731" t="s">
        <v>14</v>
      </c>
      <c r="I731" t="s">
        <v>14</v>
      </c>
    </row>
    <row r="732" spans="1:9">
      <c r="A732" t="s">
        <v>1019</v>
      </c>
      <c r="B732" t="s">
        <v>979</v>
      </c>
      <c r="C732" t="s">
        <v>1020</v>
      </c>
      <c r="D732" s="1">
        <v>20.58</v>
      </c>
      <c r="E732" s="2">
        <v>5.35</v>
      </c>
      <c r="F732" s="2">
        <v>110.1</v>
      </c>
      <c r="G732" t="s">
        <v>981</v>
      </c>
      <c r="H732" t="s">
        <v>14</v>
      </c>
      <c r="I732" t="s">
        <v>14</v>
      </c>
    </row>
    <row r="733" spans="1:9">
      <c r="A733" t="s">
        <v>1021</v>
      </c>
      <c r="B733" t="s">
        <v>979</v>
      </c>
      <c r="C733" t="s">
        <v>295</v>
      </c>
      <c r="D733" s="1">
        <v>20.67</v>
      </c>
      <c r="E733" s="2">
        <v>4.45</v>
      </c>
      <c r="F733" s="2">
        <v>91.98</v>
      </c>
      <c r="G733" t="s">
        <v>981</v>
      </c>
      <c r="H733" t="s">
        <v>14</v>
      </c>
      <c r="I733" t="s">
        <v>14</v>
      </c>
    </row>
    <row r="734" spans="1:9">
      <c r="A734" t="s">
        <v>1022</v>
      </c>
      <c r="B734" t="s">
        <v>979</v>
      </c>
      <c r="C734" t="s">
        <v>224</v>
      </c>
      <c r="D734" s="1">
        <v>20.69</v>
      </c>
      <c r="E734" s="2">
        <v>4.45</v>
      </c>
      <c r="F734" s="2">
        <v>92.07</v>
      </c>
      <c r="G734" t="s">
        <v>981</v>
      </c>
      <c r="H734" t="s">
        <v>14</v>
      </c>
      <c r="I734" t="s">
        <v>14</v>
      </c>
    </row>
    <row r="735" spans="1:9">
      <c r="A735" t="s">
        <v>1023</v>
      </c>
      <c r="B735" t="s">
        <v>979</v>
      </c>
      <c r="C735" t="s">
        <v>224</v>
      </c>
      <c r="D735" s="1">
        <v>20.66</v>
      </c>
      <c r="E735" s="2">
        <v>4.45</v>
      </c>
      <c r="F735" s="2">
        <v>91.94</v>
      </c>
      <c r="G735" t="s">
        <v>981</v>
      </c>
      <c r="H735" t="s">
        <v>14</v>
      </c>
      <c r="I735" t="s">
        <v>14</v>
      </c>
    </row>
    <row r="736" spans="1:9">
      <c r="A736" t="s">
        <v>1024</v>
      </c>
      <c r="B736" t="s">
        <v>979</v>
      </c>
      <c r="C736" t="s">
        <v>217</v>
      </c>
      <c r="D736" s="1">
        <v>20.71</v>
      </c>
      <c r="E736" s="2">
        <v>6.3</v>
      </c>
      <c r="F736" s="2">
        <v>130.47</v>
      </c>
      <c r="G736" t="s">
        <v>981</v>
      </c>
      <c r="H736" t="s">
        <v>14</v>
      </c>
      <c r="I736" t="s">
        <v>14</v>
      </c>
    </row>
    <row r="737" spans="1:9">
      <c r="A737" t="s">
        <v>1025</v>
      </c>
      <c r="B737" t="s">
        <v>979</v>
      </c>
      <c r="C737" t="s">
        <v>253</v>
      </c>
      <c r="D737" s="1">
        <v>20.73</v>
      </c>
      <c r="E737" s="2">
        <v>5.85</v>
      </c>
      <c r="F737" s="2">
        <v>121.27</v>
      </c>
      <c r="G737" t="s">
        <v>981</v>
      </c>
      <c r="H737" t="s">
        <v>14</v>
      </c>
      <c r="I737" t="s">
        <v>14</v>
      </c>
    </row>
    <row r="738" spans="1:9">
      <c r="A738" t="s">
        <v>1026</v>
      </c>
      <c r="B738" t="s">
        <v>979</v>
      </c>
      <c r="C738" t="s">
        <v>221</v>
      </c>
      <c r="D738" s="1">
        <v>20.71</v>
      </c>
      <c r="E738" s="2">
        <v>4.3</v>
      </c>
      <c r="F738" s="2">
        <v>89.05</v>
      </c>
      <c r="G738" t="s">
        <v>981</v>
      </c>
      <c r="H738" t="s">
        <v>14</v>
      </c>
      <c r="I738" t="s">
        <v>14</v>
      </c>
    </row>
    <row r="739" spans="1:9">
      <c r="A739" t="s">
        <v>1027</v>
      </c>
      <c r="B739" t="s">
        <v>1028</v>
      </c>
      <c r="C739" t="s">
        <v>302</v>
      </c>
      <c r="D739" s="1">
        <v>18.37</v>
      </c>
      <c r="E739" s="2">
        <v>4.1</v>
      </c>
      <c r="F739" s="2">
        <v>75.32</v>
      </c>
      <c r="G739" t="s">
        <v>1029</v>
      </c>
      <c r="H739" t="s">
        <v>14</v>
      </c>
      <c r="I739" t="s">
        <v>14</v>
      </c>
    </row>
    <row r="740" spans="1:9">
      <c r="A740" t="s">
        <v>1030</v>
      </c>
      <c r="B740" t="s">
        <v>1028</v>
      </c>
      <c r="C740" t="s">
        <v>318</v>
      </c>
      <c r="D740" s="1">
        <v>18.38</v>
      </c>
      <c r="E740" s="2">
        <v>4.1</v>
      </c>
      <c r="F740" s="2">
        <v>75.36</v>
      </c>
      <c r="G740" t="s">
        <v>1029</v>
      </c>
      <c r="H740" t="s">
        <v>14</v>
      </c>
      <c r="I740" t="s">
        <v>14</v>
      </c>
    </row>
    <row r="741" spans="1:9">
      <c r="A741" t="s">
        <v>1031</v>
      </c>
      <c r="B741" t="s">
        <v>1028</v>
      </c>
      <c r="C741" t="s">
        <v>339</v>
      </c>
      <c r="D741" s="1">
        <v>18.37</v>
      </c>
      <c r="E741" s="2">
        <v>4.1</v>
      </c>
      <c r="F741" s="2">
        <v>75.32</v>
      </c>
      <c r="G741" t="s">
        <v>1029</v>
      </c>
      <c r="H741" t="s">
        <v>14</v>
      </c>
      <c r="I741" t="s">
        <v>14</v>
      </c>
    </row>
    <row r="742" spans="1:9">
      <c r="A742" t="s">
        <v>1032</v>
      </c>
      <c r="B742" t="s">
        <v>1028</v>
      </c>
      <c r="C742" t="s">
        <v>679</v>
      </c>
      <c r="D742" s="1">
        <v>18.33</v>
      </c>
      <c r="E742" s="2">
        <v>3.6</v>
      </c>
      <c r="F742" s="2">
        <v>65.99</v>
      </c>
      <c r="G742" t="s">
        <v>1029</v>
      </c>
      <c r="H742" t="s">
        <v>14</v>
      </c>
      <c r="I742" t="s">
        <v>14</v>
      </c>
    </row>
    <row r="743" spans="1:9">
      <c r="A743" t="s">
        <v>1033</v>
      </c>
      <c r="B743" t="s">
        <v>1028</v>
      </c>
      <c r="C743" t="s">
        <v>1034</v>
      </c>
      <c r="D743" s="1">
        <v>18.35</v>
      </c>
      <c r="E743" s="2">
        <v>5.35</v>
      </c>
      <c r="F743" s="2">
        <v>98.17</v>
      </c>
      <c r="G743" t="s">
        <v>1029</v>
      </c>
      <c r="H743" t="s">
        <v>14</v>
      </c>
      <c r="I743" t="s">
        <v>14</v>
      </c>
    </row>
    <row r="744" spans="1:9">
      <c r="A744" t="s">
        <v>1035</v>
      </c>
      <c r="B744" t="s">
        <v>1036</v>
      </c>
      <c r="C744" t="s">
        <v>47</v>
      </c>
      <c r="D744" s="1">
        <v>21.28</v>
      </c>
      <c r="E744" s="2">
        <v>6.1</v>
      </c>
      <c r="F744" s="2">
        <v>129.81</v>
      </c>
      <c r="G744" t="s">
        <v>1037</v>
      </c>
      <c r="H744" t="s">
        <v>14</v>
      </c>
      <c r="I744" t="s">
        <v>14</v>
      </c>
    </row>
    <row r="745" spans="1:9">
      <c r="A745" t="s">
        <v>1038</v>
      </c>
      <c r="B745" t="s">
        <v>1036</v>
      </c>
      <c r="C745" t="s">
        <v>22</v>
      </c>
      <c r="D745" s="1">
        <v>21.24</v>
      </c>
      <c r="E745" s="2">
        <v>4.1</v>
      </c>
      <c r="F745" s="2">
        <v>87.08</v>
      </c>
      <c r="G745" t="s">
        <v>1037</v>
      </c>
      <c r="H745" t="s">
        <v>14</v>
      </c>
      <c r="I745" t="s">
        <v>14</v>
      </c>
    </row>
    <row r="746" spans="1:9">
      <c r="A746" t="s">
        <v>1039</v>
      </c>
      <c r="B746" t="s">
        <v>1036</v>
      </c>
      <c r="C746" t="s">
        <v>59</v>
      </c>
      <c r="D746" s="1">
        <v>21.38</v>
      </c>
      <c r="E746" s="2">
        <v>5.05</v>
      </c>
      <c r="F746" s="2">
        <v>107.97</v>
      </c>
      <c r="G746" t="s">
        <v>1037</v>
      </c>
      <c r="H746" t="s">
        <v>14</v>
      </c>
      <c r="I746" t="s">
        <v>14</v>
      </c>
    </row>
    <row r="747" spans="1:9">
      <c r="A747" t="s">
        <v>1040</v>
      </c>
      <c r="B747" t="s">
        <v>1036</v>
      </c>
      <c r="C747" t="s">
        <v>59</v>
      </c>
      <c r="D747" s="1">
        <v>21.32</v>
      </c>
      <c r="E747" s="2">
        <v>5.05</v>
      </c>
      <c r="F747" s="2">
        <v>107.67</v>
      </c>
      <c r="G747" t="s">
        <v>1037</v>
      </c>
      <c r="H747" t="s">
        <v>14</v>
      </c>
      <c r="I747" t="s">
        <v>14</v>
      </c>
    </row>
    <row r="748" spans="1:9">
      <c r="A748" t="s">
        <v>1041</v>
      </c>
      <c r="B748" t="s">
        <v>1036</v>
      </c>
      <c r="C748" t="s">
        <v>25</v>
      </c>
      <c r="D748" s="1">
        <v>21.38</v>
      </c>
      <c r="E748" s="2">
        <v>5.85</v>
      </c>
      <c r="F748" s="2">
        <v>125.07</v>
      </c>
      <c r="G748" t="s">
        <v>1037</v>
      </c>
      <c r="H748" t="s">
        <v>14</v>
      </c>
      <c r="I748" t="s">
        <v>14</v>
      </c>
    </row>
    <row r="749" spans="1:9">
      <c r="A749" t="s">
        <v>1042</v>
      </c>
      <c r="B749" t="s">
        <v>1036</v>
      </c>
      <c r="C749" t="s">
        <v>29</v>
      </c>
      <c r="D749" s="1">
        <v>21.33</v>
      </c>
      <c r="E749" s="2">
        <v>4.45</v>
      </c>
      <c r="F749" s="2">
        <v>94.92</v>
      </c>
      <c r="G749" t="s">
        <v>1037</v>
      </c>
      <c r="H749" t="s">
        <v>14</v>
      </c>
      <c r="I749" t="s">
        <v>14</v>
      </c>
    </row>
    <row r="750" spans="1:9">
      <c r="A750" t="s">
        <v>1043</v>
      </c>
      <c r="B750" t="s">
        <v>1036</v>
      </c>
      <c r="C750" t="s">
        <v>12</v>
      </c>
      <c r="D750" s="1">
        <v>21.25</v>
      </c>
      <c r="E750" s="2">
        <v>4.1</v>
      </c>
      <c r="F750" s="2">
        <v>87.12</v>
      </c>
      <c r="G750" t="s">
        <v>1037</v>
      </c>
      <c r="H750" t="s">
        <v>14</v>
      </c>
      <c r="I750" t="s">
        <v>14</v>
      </c>
    </row>
    <row r="751" spans="1:9">
      <c r="A751" t="s">
        <v>1044</v>
      </c>
      <c r="B751" t="s">
        <v>1036</v>
      </c>
      <c r="C751" t="s">
        <v>25</v>
      </c>
      <c r="D751" s="1">
        <v>21.23</v>
      </c>
      <c r="E751" s="2">
        <v>5.85</v>
      </c>
      <c r="F751" s="2">
        <v>124.2</v>
      </c>
      <c r="G751" t="s">
        <v>1037</v>
      </c>
      <c r="H751" t="s">
        <v>14</v>
      </c>
      <c r="I751" t="s">
        <v>14</v>
      </c>
    </row>
    <row r="752" spans="1:9">
      <c r="A752" t="s">
        <v>1045</v>
      </c>
      <c r="B752" t="s">
        <v>1036</v>
      </c>
      <c r="C752" t="s">
        <v>550</v>
      </c>
      <c r="D752" s="1">
        <v>21.26</v>
      </c>
      <c r="E752" s="2">
        <v>5.35</v>
      </c>
      <c r="F752" s="2">
        <v>113.74</v>
      </c>
      <c r="G752" t="s">
        <v>1037</v>
      </c>
      <c r="H752" t="s">
        <v>14</v>
      </c>
      <c r="I752" t="s">
        <v>14</v>
      </c>
    </row>
    <row r="753" spans="1:9">
      <c r="A753" t="s">
        <v>1046</v>
      </c>
      <c r="B753" t="s">
        <v>1036</v>
      </c>
      <c r="C753" t="s">
        <v>34</v>
      </c>
      <c r="D753" s="1">
        <v>21.26</v>
      </c>
      <c r="E753" s="2">
        <v>4.85</v>
      </c>
      <c r="F753" s="2">
        <v>103.11</v>
      </c>
      <c r="G753" t="s">
        <v>1037</v>
      </c>
      <c r="H753" t="s">
        <v>14</v>
      </c>
      <c r="I753" t="s">
        <v>14</v>
      </c>
    </row>
    <row r="754" spans="1:9">
      <c r="A754" t="s">
        <v>1047</v>
      </c>
      <c r="B754" t="s">
        <v>1036</v>
      </c>
      <c r="C754" t="s">
        <v>56</v>
      </c>
      <c r="D754" s="1">
        <v>21.29</v>
      </c>
      <c r="E754" s="2">
        <v>5.35</v>
      </c>
      <c r="F754" s="2">
        <v>113.9</v>
      </c>
      <c r="G754" t="s">
        <v>1037</v>
      </c>
      <c r="H754" t="s">
        <v>14</v>
      </c>
      <c r="I754" t="s">
        <v>14</v>
      </c>
    </row>
    <row r="755" spans="1:9">
      <c r="A755" t="s">
        <v>1048</v>
      </c>
      <c r="B755" t="s">
        <v>1036</v>
      </c>
      <c r="C755" t="s">
        <v>29</v>
      </c>
      <c r="D755" s="1">
        <v>21.33</v>
      </c>
      <c r="E755" s="2">
        <v>4.45</v>
      </c>
      <c r="F755" s="2">
        <v>94.92</v>
      </c>
      <c r="G755" t="s">
        <v>1037</v>
      </c>
      <c r="H755" t="s">
        <v>14</v>
      </c>
      <c r="I755" t="s">
        <v>14</v>
      </c>
    </row>
    <row r="756" spans="1:9">
      <c r="A756" t="s">
        <v>1049</v>
      </c>
      <c r="B756" t="s">
        <v>1036</v>
      </c>
      <c r="C756" t="s">
        <v>16</v>
      </c>
      <c r="D756" s="1">
        <v>21.37</v>
      </c>
      <c r="E756" s="2">
        <v>4.45</v>
      </c>
      <c r="F756" s="2">
        <v>95.1</v>
      </c>
      <c r="G756" t="s">
        <v>1037</v>
      </c>
      <c r="H756" t="s">
        <v>14</v>
      </c>
      <c r="I756" t="s">
        <v>14</v>
      </c>
    </row>
    <row r="757" spans="1:9">
      <c r="A757" t="s">
        <v>1050</v>
      </c>
      <c r="B757" t="s">
        <v>1036</v>
      </c>
      <c r="C757" t="s">
        <v>29</v>
      </c>
      <c r="D757" s="1">
        <v>21.3</v>
      </c>
      <c r="E757" s="2">
        <v>4.45</v>
      </c>
      <c r="F757" s="2">
        <v>94.79</v>
      </c>
      <c r="G757" t="s">
        <v>1037</v>
      </c>
      <c r="H757" t="s">
        <v>14</v>
      </c>
      <c r="I757" t="s">
        <v>14</v>
      </c>
    </row>
    <row r="758" spans="1:9">
      <c r="A758" t="s">
        <v>1051</v>
      </c>
      <c r="B758" t="s">
        <v>1036</v>
      </c>
      <c r="C758" t="s">
        <v>1052</v>
      </c>
      <c r="D758" s="1">
        <v>21.32</v>
      </c>
      <c r="E758" s="2">
        <v>6.85</v>
      </c>
      <c r="F758" s="2">
        <v>146.04</v>
      </c>
      <c r="G758" t="s">
        <v>1037</v>
      </c>
      <c r="H758" t="s">
        <v>14</v>
      </c>
      <c r="I758" t="s">
        <v>14</v>
      </c>
    </row>
    <row r="759" spans="1:9">
      <c r="A759" t="s">
        <v>1053</v>
      </c>
      <c r="B759" t="s">
        <v>1036</v>
      </c>
      <c r="C759" t="s">
        <v>29</v>
      </c>
      <c r="D759" s="1">
        <v>21.39</v>
      </c>
      <c r="E759" s="2">
        <v>4.45</v>
      </c>
      <c r="F759" s="2">
        <v>95.19</v>
      </c>
      <c r="G759" t="s">
        <v>1037</v>
      </c>
      <c r="H759" t="s">
        <v>14</v>
      </c>
      <c r="I759" t="s">
        <v>14</v>
      </c>
    </row>
    <row r="760" spans="1:9">
      <c r="A760" t="s">
        <v>1054</v>
      </c>
      <c r="B760" t="s">
        <v>1055</v>
      </c>
      <c r="C760" t="s">
        <v>22</v>
      </c>
      <c r="D760" s="1">
        <v>16.1</v>
      </c>
      <c r="E760" s="2">
        <v>4.1</v>
      </c>
      <c r="F760" s="2">
        <v>66.01</v>
      </c>
      <c r="G760" t="s">
        <v>1056</v>
      </c>
      <c r="H760" t="s">
        <v>14</v>
      </c>
      <c r="I760" t="s">
        <v>14</v>
      </c>
    </row>
    <row r="761" spans="1:9">
      <c r="A761" t="s">
        <v>1057</v>
      </c>
      <c r="B761" t="s">
        <v>1055</v>
      </c>
      <c r="C761" t="s">
        <v>31</v>
      </c>
      <c r="D761" s="1">
        <v>16.21</v>
      </c>
      <c r="E761" s="2">
        <v>4.45</v>
      </c>
      <c r="F761" s="2">
        <v>72.13</v>
      </c>
      <c r="G761" t="s">
        <v>1056</v>
      </c>
      <c r="H761" t="s">
        <v>14</v>
      </c>
      <c r="I761" t="s">
        <v>14</v>
      </c>
    </row>
    <row r="762" spans="1:9">
      <c r="A762" t="s">
        <v>1058</v>
      </c>
      <c r="B762" t="s">
        <v>1055</v>
      </c>
      <c r="C762" t="s">
        <v>64</v>
      </c>
      <c r="D762" s="1">
        <v>16.08</v>
      </c>
      <c r="E762" s="2">
        <v>12.9</v>
      </c>
      <c r="F762" s="2">
        <v>207.43</v>
      </c>
      <c r="G762" t="s">
        <v>1056</v>
      </c>
      <c r="H762" t="s">
        <v>14</v>
      </c>
      <c r="I762" t="s">
        <v>14</v>
      </c>
    </row>
    <row r="763" spans="1:9">
      <c r="A763" t="s">
        <v>1059</v>
      </c>
      <c r="B763" t="s">
        <v>1055</v>
      </c>
      <c r="C763" t="s">
        <v>25</v>
      </c>
      <c r="D763" s="1">
        <v>17.35</v>
      </c>
      <c r="E763" s="2">
        <v>5.85</v>
      </c>
      <c r="F763" s="2">
        <v>101.5</v>
      </c>
      <c r="G763" t="s">
        <v>1056</v>
      </c>
      <c r="H763" t="s">
        <v>14</v>
      </c>
      <c r="I763" t="s">
        <v>14</v>
      </c>
    </row>
    <row r="764" spans="1:9">
      <c r="A764" t="s">
        <v>1060</v>
      </c>
      <c r="B764" t="s">
        <v>1055</v>
      </c>
      <c r="C764" t="s">
        <v>59</v>
      </c>
      <c r="D764" s="1">
        <v>16.88</v>
      </c>
      <c r="E764" s="2">
        <v>5.05</v>
      </c>
      <c r="F764" s="2">
        <v>85.24</v>
      </c>
      <c r="G764" t="s">
        <v>1056</v>
      </c>
      <c r="H764" t="s">
        <v>14</v>
      </c>
      <c r="I764" t="s">
        <v>14</v>
      </c>
    </row>
    <row r="765" spans="1:9">
      <c r="A765" t="s">
        <v>1061</v>
      </c>
      <c r="B765" t="s">
        <v>1055</v>
      </c>
      <c r="C765" t="s">
        <v>59</v>
      </c>
      <c r="D765" s="1">
        <v>17.35</v>
      </c>
      <c r="E765" s="2">
        <v>5.05</v>
      </c>
      <c r="F765" s="2">
        <v>87.62</v>
      </c>
      <c r="G765" t="s">
        <v>1056</v>
      </c>
      <c r="H765" t="s">
        <v>14</v>
      </c>
      <c r="I765" t="s">
        <v>14</v>
      </c>
    </row>
    <row r="766" spans="1:9">
      <c r="A766" t="s">
        <v>1062</v>
      </c>
      <c r="B766" t="s">
        <v>1055</v>
      </c>
      <c r="C766" t="s">
        <v>12</v>
      </c>
      <c r="D766" s="1">
        <v>17.18</v>
      </c>
      <c r="E766" s="2">
        <v>4.1</v>
      </c>
      <c r="F766" s="2">
        <v>70.44</v>
      </c>
      <c r="G766" t="s">
        <v>1056</v>
      </c>
      <c r="H766" t="s">
        <v>14</v>
      </c>
      <c r="I766" t="s">
        <v>14</v>
      </c>
    </row>
    <row r="767" spans="1:9">
      <c r="A767" t="s">
        <v>1063</v>
      </c>
      <c r="B767" t="s">
        <v>1055</v>
      </c>
      <c r="C767" t="s">
        <v>64</v>
      </c>
      <c r="D767" s="1">
        <v>16.71</v>
      </c>
      <c r="E767" s="2">
        <v>12.9</v>
      </c>
      <c r="F767" s="2">
        <v>215.56</v>
      </c>
      <c r="G767" t="s">
        <v>1056</v>
      </c>
      <c r="H767" t="s">
        <v>14</v>
      </c>
      <c r="I767" t="s">
        <v>14</v>
      </c>
    </row>
    <row r="768" spans="1:9">
      <c r="A768" t="s">
        <v>1064</v>
      </c>
      <c r="B768" t="s">
        <v>1055</v>
      </c>
      <c r="C768" t="s">
        <v>20</v>
      </c>
      <c r="D768" s="1">
        <v>16.88</v>
      </c>
      <c r="E768" s="2">
        <v>5.35</v>
      </c>
      <c r="F768" s="2">
        <v>90.31</v>
      </c>
      <c r="G768" t="s">
        <v>1056</v>
      </c>
      <c r="H768" t="s">
        <v>14</v>
      </c>
      <c r="I768" t="s">
        <v>14</v>
      </c>
    </row>
    <row r="769" spans="1:9">
      <c r="A769" t="s">
        <v>1065</v>
      </c>
      <c r="B769" t="s">
        <v>1055</v>
      </c>
      <c r="C769" t="s">
        <v>50</v>
      </c>
      <c r="D769" s="1">
        <v>16.77</v>
      </c>
      <c r="E769" s="2">
        <v>6.1</v>
      </c>
      <c r="F769" s="2">
        <v>102.3</v>
      </c>
      <c r="G769" t="s">
        <v>1056</v>
      </c>
      <c r="H769" t="s">
        <v>14</v>
      </c>
      <c r="I769" t="s">
        <v>14</v>
      </c>
    </row>
    <row r="770" spans="1:9">
      <c r="A770" t="s">
        <v>1066</v>
      </c>
      <c r="B770" t="s">
        <v>1055</v>
      </c>
      <c r="C770" t="s">
        <v>59</v>
      </c>
      <c r="D770" s="1">
        <v>16.89</v>
      </c>
      <c r="E770" s="2">
        <v>5.05</v>
      </c>
      <c r="F770" s="2">
        <v>85.29</v>
      </c>
      <c r="G770" t="s">
        <v>1056</v>
      </c>
      <c r="H770" t="s">
        <v>14</v>
      </c>
      <c r="I770" t="s">
        <v>14</v>
      </c>
    </row>
    <row r="771" spans="1:9">
      <c r="A771" t="s">
        <v>1067</v>
      </c>
      <c r="B771" t="s">
        <v>1055</v>
      </c>
      <c r="C771" t="s">
        <v>25</v>
      </c>
      <c r="D771" s="1">
        <v>16.86</v>
      </c>
      <c r="E771" s="2">
        <v>5.85</v>
      </c>
      <c r="F771" s="2">
        <v>98.63</v>
      </c>
      <c r="G771" t="s">
        <v>1056</v>
      </c>
      <c r="H771" t="s">
        <v>14</v>
      </c>
      <c r="I771" t="s">
        <v>14</v>
      </c>
    </row>
    <row r="772" spans="1:9">
      <c r="A772" t="s">
        <v>1068</v>
      </c>
      <c r="B772" t="s">
        <v>1055</v>
      </c>
      <c r="C772" t="s">
        <v>1069</v>
      </c>
      <c r="D772" s="1">
        <v>16.73</v>
      </c>
      <c r="E772" s="2">
        <v>7.15</v>
      </c>
      <c r="F772" s="2">
        <v>119.62</v>
      </c>
      <c r="G772" t="s">
        <v>1056</v>
      </c>
      <c r="H772" t="s">
        <v>14</v>
      </c>
      <c r="I772" t="s">
        <v>14</v>
      </c>
    </row>
    <row r="773" spans="1:9">
      <c r="A773" t="s">
        <v>1070</v>
      </c>
      <c r="B773" t="s">
        <v>1055</v>
      </c>
      <c r="C773" t="s">
        <v>18</v>
      </c>
      <c r="D773" s="1">
        <v>16.68</v>
      </c>
      <c r="E773" s="2">
        <v>5.85</v>
      </c>
      <c r="F773" s="2">
        <v>97.58</v>
      </c>
      <c r="G773" t="s">
        <v>1056</v>
      </c>
      <c r="H773" t="s">
        <v>14</v>
      </c>
      <c r="I773" t="s">
        <v>14</v>
      </c>
    </row>
    <row r="774" spans="1:9">
      <c r="A774" t="s">
        <v>1071</v>
      </c>
      <c r="B774" t="s">
        <v>1055</v>
      </c>
      <c r="C774" t="s">
        <v>22</v>
      </c>
      <c r="D774" s="1">
        <v>16.84</v>
      </c>
      <c r="E774" s="2">
        <v>4.1</v>
      </c>
      <c r="F774" s="2">
        <v>69.04</v>
      </c>
      <c r="G774" t="s">
        <v>1056</v>
      </c>
      <c r="H774" t="s">
        <v>14</v>
      </c>
      <c r="I774" t="s">
        <v>14</v>
      </c>
    </row>
    <row r="775" spans="1:9">
      <c r="A775" t="s">
        <v>1072</v>
      </c>
      <c r="B775" t="s">
        <v>1055</v>
      </c>
      <c r="C775" t="s">
        <v>64</v>
      </c>
      <c r="D775" s="1">
        <v>16.69</v>
      </c>
      <c r="E775" s="2">
        <v>12.9</v>
      </c>
      <c r="F775" s="2">
        <v>215.3</v>
      </c>
      <c r="G775" t="s">
        <v>1056</v>
      </c>
      <c r="H775" t="s">
        <v>14</v>
      </c>
      <c r="I775" t="s">
        <v>14</v>
      </c>
    </row>
    <row r="776" spans="1:9">
      <c r="A776" t="s">
        <v>1073</v>
      </c>
      <c r="B776" t="s">
        <v>1055</v>
      </c>
      <c r="C776" t="s">
        <v>25</v>
      </c>
      <c r="D776" s="1">
        <v>16.8</v>
      </c>
      <c r="E776" s="2">
        <v>5.85</v>
      </c>
      <c r="F776" s="2">
        <v>98.28</v>
      </c>
      <c r="G776" t="s">
        <v>1056</v>
      </c>
      <c r="H776" t="s">
        <v>14</v>
      </c>
      <c r="I776" t="s">
        <v>14</v>
      </c>
    </row>
    <row r="777" spans="1:9">
      <c r="A777" t="s">
        <v>1074</v>
      </c>
      <c r="B777" t="s">
        <v>1055</v>
      </c>
      <c r="C777" t="s">
        <v>56</v>
      </c>
      <c r="D777" s="1">
        <v>16.71</v>
      </c>
      <c r="E777" s="2">
        <v>5.35</v>
      </c>
      <c r="F777" s="2">
        <v>89.4</v>
      </c>
      <c r="G777" t="s">
        <v>1056</v>
      </c>
      <c r="H777" t="s">
        <v>14</v>
      </c>
      <c r="I777" t="s">
        <v>14</v>
      </c>
    </row>
    <row r="778" spans="1:9">
      <c r="A778" t="s">
        <v>1075</v>
      </c>
      <c r="B778" t="s">
        <v>1055</v>
      </c>
      <c r="C778" t="s">
        <v>50</v>
      </c>
      <c r="D778" s="1">
        <v>16.86</v>
      </c>
      <c r="E778" s="2">
        <v>6.1</v>
      </c>
      <c r="F778" s="2">
        <v>102.85</v>
      </c>
      <c r="G778" t="s">
        <v>1056</v>
      </c>
      <c r="H778" t="s">
        <v>14</v>
      </c>
      <c r="I778" t="s">
        <v>14</v>
      </c>
    </row>
    <row r="779" spans="1:9">
      <c r="A779"/>
      <c r="B779"/>
      <c r="C779"/>
      <c r="D779" s="1"/>
      <c r="E779" s="2"/>
      <c r="F779" s="2"/>
      <c r="G779"/>
      <c r="H779"/>
      <c r="I779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321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7.8476562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1080</v>
      </c>
      <c r="B2" t="s">
        <v>1081</v>
      </c>
      <c r="C2" t="s">
        <v>1082</v>
      </c>
      <c r="D2" s="1">
        <v>24.48</v>
      </c>
      <c r="E2" s="2">
        <v>8.5</v>
      </c>
      <c r="F2" s="2">
        <v>208.08</v>
      </c>
      <c r="G2" t="s">
        <v>1083</v>
      </c>
      <c r="H2" t="s">
        <v>1083</v>
      </c>
    </row>
    <row r="3" spans="1:8">
      <c r="A3" t="s">
        <v>1084</v>
      </c>
      <c r="B3" t="s">
        <v>1081</v>
      </c>
      <c r="C3" t="s">
        <v>1085</v>
      </c>
      <c r="D3" s="1">
        <v>24.06</v>
      </c>
      <c r="E3" s="2">
        <v>8.5</v>
      </c>
      <c r="F3" s="2">
        <v>204.51</v>
      </c>
      <c r="G3" t="s">
        <v>1086</v>
      </c>
      <c r="H3" t="s">
        <v>1086</v>
      </c>
    </row>
    <row r="4" spans="1:8">
      <c r="A4" t="s">
        <v>1087</v>
      </c>
      <c r="B4" t="s">
        <v>1088</v>
      </c>
      <c r="C4" t="s">
        <v>1089</v>
      </c>
      <c r="D4" s="1">
        <v>25.63</v>
      </c>
      <c r="E4" s="2">
        <v>6.5</v>
      </c>
      <c r="F4" s="2">
        <v>166.6</v>
      </c>
      <c r="G4" t="s">
        <v>1090</v>
      </c>
      <c r="H4" t="s">
        <v>1090</v>
      </c>
    </row>
    <row r="5" spans="1:8">
      <c r="A5" t="s">
        <v>1091</v>
      </c>
      <c r="B5" t="s">
        <v>1092</v>
      </c>
      <c r="C5" t="s">
        <v>1093</v>
      </c>
      <c r="D5" s="1">
        <v>20</v>
      </c>
      <c r="E5" s="2">
        <v>6.95</v>
      </c>
      <c r="F5" s="2">
        <v>139</v>
      </c>
      <c r="G5" t="s">
        <v>1094</v>
      </c>
      <c r="H5" t="s">
        <v>1094</v>
      </c>
    </row>
    <row r="6" spans="1:8">
      <c r="A6" t="s">
        <v>1095</v>
      </c>
      <c r="B6" t="s">
        <v>1092</v>
      </c>
      <c r="C6" t="s">
        <v>1096</v>
      </c>
      <c r="D6" s="1">
        <v>20.87</v>
      </c>
      <c r="E6" s="2">
        <v>7</v>
      </c>
      <c r="F6" s="2">
        <v>146.09</v>
      </c>
      <c r="G6" t="s">
        <v>1097</v>
      </c>
      <c r="H6" t="s">
        <v>1097</v>
      </c>
    </row>
    <row r="7" spans="1:8">
      <c r="A7" t="s">
        <v>1098</v>
      </c>
      <c r="B7" t="s">
        <v>1092</v>
      </c>
      <c r="C7" t="s">
        <v>1099</v>
      </c>
      <c r="D7" s="1">
        <v>19.47</v>
      </c>
      <c r="E7" s="2">
        <v>4.95</v>
      </c>
      <c r="F7" s="2">
        <v>96.38</v>
      </c>
      <c r="G7" t="s">
        <v>1100</v>
      </c>
      <c r="H7" t="s">
        <v>1100</v>
      </c>
    </row>
    <row r="8" spans="1:8">
      <c r="A8" t="s">
        <v>1101</v>
      </c>
      <c r="B8" t="s">
        <v>1092</v>
      </c>
      <c r="C8" t="s">
        <v>1102</v>
      </c>
      <c r="D8" s="1">
        <v>19.47</v>
      </c>
      <c r="E8" s="2">
        <v>5.95</v>
      </c>
      <c r="F8" s="2">
        <v>115.85</v>
      </c>
      <c r="G8" t="s">
        <v>1100</v>
      </c>
      <c r="H8" t="s">
        <v>1100</v>
      </c>
    </row>
    <row r="9" spans="1:8">
      <c r="A9" t="s">
        <v>1103</v>
      </c>
      <c r="B9" t="s">
        <v>1092</v>
      </c>
      <c r="C9" t="s">
        <v>1102</v>
      </c>
      <c r="D9" s="1">
        <v>19.53</v>
      </c>
      <c r="E9" s="2">
        <v>5.95</v>
      </c>
      <c r="F9" s="2">
        <v>116.2</v>
      </c>
      <c r="G9" t="s">
        <v>1100</v>
      </c>
      <c r="H9" t="s">
        <v>1100</v>
      </c>
    </row>
    <row r="10" spans="1:8">
      <c r="A10" t="s">
        <v>1104</v>
      </c>
      <c r="B10" t="s">
        <v>1092</v>
      </c>
      <c r="C10" t="s">
        <v>1105</v>
      </c>
      <c r="D10" s="1">
        <v>19.48</v>
      </c>
      <c r="E10" s="2">
        <v>4.7</v>
      </c>
      <c r="F10" s="2">
        <v>91.56</v>
      </c>
      <c r="G10" t="s">
        <v>1100</v>
      </c>
      <c r="H10" t="s">
        <v>1100</v>
      </c>
    </row>
    <row r="11" spans="1:8">
      <c r="A11" t="s">
        <v>1106</v>
      </c>
      <c r="B11" t="s">
        <v>1092</v>
      </c>
      <c r="C11" t="s">
        <v>1107</v>
      </c>
      <c r="D11" s="1">
        <v>19.5</v>
      </c>
      <c r="E11" s="2">
        <v>5.15</v>
      </c>
      <c r="F11" s="2">
        <v>100.43</v>
      </c>
      <c r="G11" t="s">
        <v>1100</v>
      </c>
      <c r="H11" t="s">
        <v>1100</v>
      </c>
    </row>
    <row r="12" spans="1:8">
      <c r="A12" t="s">
        <v>1108</v>
      </c>
      <c r="B12" t="s">
        <v>1092</v>
      </c>
      <c r="C12" t="s">
        <v>1109</v>
      </c>
      <c r="D12" s="1">
        <v>19.43</v>
      </c>
      <c r="E12" s="2">
        <v>3.7</v>
      </c>
      <c r="F12" s="2">
        <v>71.89</v>
      </c>
      <c r="G12" t="s">
        <v>1100</v>
      </c>
      <c r="H12" t="s">
        <v>1100</v>
      </c>
    </row>
    <row r="13" spans="1:8">
      <c r="A13" t="s">
        <v>1110</v>
      </c>
      <c r="B13" t="s">
        <v>1092</v>
      </c>
      <c r="C13" t="s">
        <v>1109</v>
      </c>
      <c r="D13" s="1">
        <v>19.43</v>
      </c>
      <c r="E13" s="2">
        <v>3.7</v>
      </c>
      <c r="F13" s="2">
        <v>71.89</v>
      </c>
      <c r="G13" t="s">
        <v>1100</v>
      </c>
      <c r="H13" t="s">
        <v>1100</v>
      </c>
    </row>
    <row r="14" spans="1:8">
      <c r="A14" t="s">
        <v>1111</v>
      </c>
      <c r="B14" t="s">
        <v>1112</v>
      </c>
      <c r="C14" t="s">
        <v>1113</v>
      </c>
      <c r="D14" s="1">
        <v>18.86</v>
      </c>
      <c r="E14" s="2">
        <v>4.7</v>
      </c>
      <c r="F14" s="2">
        <v>88.64</v>
      </c>
      <c r="G14" t="s">
        <v>1114</v>
      </c>
      <c r="H14" t="s">
        <v>1114</v>
      </c>
    </row>
    <row r="15" spans="1:8">
      <c r="A15" t="s">
        <v>1115</v>
      </c>
      <c r="B15" t="s">
        <v>1112</v>
      </c>
      <c r="C15" t="s">
        <v>1116</v>
      </c>
      <c r="D15" s="1">
        <v>17.05</v>
      </c>
      <c r="E15" s="2">
        <v>4.7</v>
      </c>
      <c r="F15" s="2">
        <v>80.14</v>
      </c>
      <c r="G15" t="s">
        <v>1083</v>
      </c>
      <c r="H15" t="s">
        <v>1083</v>
      </c>
    </row>
    <row r="16" spans="1:8">
      <c r="A16" t="s">
        <v>1117</v>
      </c>
      <c r="B16" t="s">
        <v>11</v>
      </c>
      <c r="C16" t="s">
        <v>73</v>
      </c>
      <c r="D16" s="1">
        <v>1</v>
      </c>
      <c r="E16" s="2">
        <v>200</v>
      </c>
      <c r="F16" s="2">
        <v>200</v>
      </c>
      <c r="G16" t="s">
        <v>1118</v>
      </c>
      <c r="H16" t="s">
        <v>1118</v>
      </c>
    </row>
    <row r="17" spans="1:8">
      <c r="A17" t="s">
        <v>1119</v>
      </c>
      <c r="B17" t="s">
        <v>11</v>
      </c>
      <c r="C17" t="s">
        <v>1120</v>
      </c>
      <c r="D17" s="1">
        <v>23.22</v>
      </c>
      <c r="E17" s="2">
        <v>7.6</v>
      </c>
      <c r="F17" s="2">
        <v>176.47</v>
      </c>
      <c r="G17" t="s">
        <v>1100</v>
      </c>
      <c r="H17" t="s">
        <v>1100</v>
      </c>
    </row>
    <row r="18" spans="1:8">
      <c r="A18" t="s">
        <v>1121</v>
      </c>
      <c r="B18" t="s">
        <v>11</v>
      </c>
      <c r="C18" t="s">
        <v>1122</v>
      </c>
      <c r="D18" s="1">
        <v>23.27</v>
      </c>
      <c r="E18" s="2">
        <v>10.75</v>
      </c>
      <c r="F18" s="2">
        <v>250.15</v>
      </c>
      <c r="G18" t="s">
        <v>1100</v>
      </c>
      <c r="H18" t="s">
        <v>1100</v>
      </c>
    </row>
    <row r="19" spans="1:8">
      <c r="A19" t="s">
        <v>1123</v>
      </c>
      <c r="B19" t="s">
        <v>11</v>
      </c>
      <c r="C19" t="s">
        <v>1120</v>
      </c>
      <c r="D19" s="1">
        <v>23.24</v>
      </c>
      <c r="E19" s="2">
        <v>7.6</v>
      </c>
      <c r="F19" s="2">
        <v>176.62</v>
      </c>
      <c r="G19" t="s">
        <v>1100</v>
      </c>
      <c r="H19" t="s">
        <v>1100</v>
      </c>
    </row>
    <row r="20" spans="1:8">
      <c r="A20" t="s">
        <v>1124</v>
      </c>
      <c r="B20" t="s">
        <v>11</v>
      </c>
      <c r="C20" t="s">
        <v>1125</v>
      </c>
      <c r="D20" s="1">
        <v>21.81</v>
      </c>
      <c r="E20" s="2">
        <v>8.2</v>
      </c>
      <c r="F20" s="2">
        <v>178.84</v>
      </c>
      <c r="G20" t="s">
        <v>1126</v>
      </c>
      <c r="H20" t="s">
        <v>1127</v>
      </c>
    </row>
    <row r="21" spans="1:8">
      <c r="A21" t="s">
        <v>1128</v>
      </c>
      <c r="B21" t="s">
        <v>11</v>
      </c>
      <c r="C21" t="s">
        <v>1129</v>
      </c>
      <c r="D21" s="1">
        <v>18.91</v>
      </c>
      <c r="E21" s="2">
        <v>5.9</v>
      </c>
      <c r="F21" s="2">
        <v>111.57</v>
      </c>
      <c r="G21" t="s">
        <v>1130</v>
      </c>
      <c r="H21" t="s">
        <v>1130</v>
      </c>
    </row>
    <row r="22" spans="1:8">
      <c r="A22" t="s">
        <v>1131</v>
      </c>
      <c r="B22" t="s">
        <v>11</v>
      </c>
      <c r="C22" t="s">
        <v>1132</v>
      </c>
      <c r="D22" s="1">
        <v>19.32</v>
      </c>
      <c r="E22" s="2">
        <v>6.45</v>
      </c>
      <c r="F22" s="2">
        <v>124.61</v>
      </c>
      <c r="G22" t="s">
        <v>1100</v>
      </c>
      <c r="H22" t="s">
        <v>1100</v>
      </c>
    </row>
    <row r="23" spans="1:8">
      <c r="A23" t="s">
        <v>1133</v>
      </c>
      <c r="B23" t="s">
        <v>11</v>
      </c>
      <c r="C23" t="s">
        <v>1134</v>
      </c>
      <c r="D23" s="1">
        <v>19.32</v>
      </c>
      <c r="E23" s="2">
        <v>6.45</v>
      </c>
      <c r="F23" s="2">
        <v>124.61</v>
      </c>
      <c r="G23" t="s">
        <v>1100</v>
      </c>
      <c r="H23" t="s">
        <v>1100</v>
      </c>
    </row>
    <row r="24" spans="1:8">
      <c r="A24" t="s">
        <v>1135</v>
      </c>
      <c r="B24" t="s">
        <v>11</v>
      </c>
      <c r="C24" t="s">
        <v>1136</v>
      </c>
      <c r="D24" s="1">
        <v>19.42</v>
      </c>
      <c r="E24" s="2">
        <v>4.95</v>
      </c>
      <c r="F24" s="2">
        <v>96.13</v>
      </c>
      <c r="G24" t="s">
        <v>1100</v>
      </c>
      <c r="H24" t="s">
        <v>1100</v>
      </c>
    </row>
    <row r="25" spans="1:8">
      <c r="A25" t="s">
        <v>1137</v>
      </c>
      <c r="B25" t="s">
        <v>11</v>
      </c>
      <c r="C25" t="s">
        <v>1138</v>
      </c>
      <c r="D25" s="1">
        <v>20.19</v>
      </c>
      <c r="E25" s="2">
        <v>8.25</v>
      </c>
      <c r="F25" s="2">
        <v>166.57</v>
      </c>
      <c r="G25" t="s">
        <v>1100</v>
      </c>
      <c r="H25" t="s">
        <v>1100</v>
      </c>
    </row>
    <row r="26" spans="1:8">
      <c r="A26" t="s">
        <v>1139</v>
      </c>
      <c r="B26" t="s">
        <v>11</v>
      </c>
      <c r="C26" t="s">
        <v>1140</v>
      </c>
      <c r="D26" s="1">
        <v>19.01</v>
      </c>
      <c r="E26" s="2">
        <v>8.5</v>
      </c>
      <c r="F26" s="2">
        <v>161.59</v>
      </c>
      <c r="G26" t="s">
        <v>1100</v>
      </c>
      <c r="H26" t="s">
        <v>1100</v>
      </c>
    </row>
    <row r="27" spans="1:8">
      <c r="A27" t="s">
        <v>1141</v>
      </c>
      <c r="B27" t="s">
        <v>11</v>
      </c>
      <c r="C27" t="s">
        <v>1142</v>
      </c>
      <c r="D27" s="1">
        <v>19.37</v>
      </c>
      <c r="E27" s="2">
        <v>5.15</v>
      </c>
      <c r="F27" s="2">
        <v>99.76</v>
      </c>
      <c r="G27" t="s">
        <v>1100</v>
      </c>
      <c r="H27" t="s">
        <v>1100</v>
      </c>
    </row>
    <row r="28" spans="1:8">
      <c r="A28" t="s">
        <v>1143</v>
      </c>
      <c r="B28" t="s">
        <v>11</v>
      </c>
      <c r="C28" t="s">
        <v>1144</v>
      </c>
      <c r="D28" s="1">
        <v>19.34</v>
      </c>
      <c r="E28" s="2">
        <v>5.4</v>
      </c>
      <c r="F28" s="2">
        <v>104.44</v>
      </c>
      <c r="G28" t="s">
        <v>1100</v>
      </c>
      <c r="H28" t="s">
        <v>1100</v>
      </c>
    </row>
    <row r="29" spans="1:8">
      <c r="A29" t="s">
        <v>1145</v>
      </c>
      <c r="B29" t="s">
        <v>11</v>
      </c>
      <c r="C29" t="s">
        <v>1146</v>
      </c>
      <c r="D29" s="1">
        <v>19.4</v>
      </c>
      <c r="E29" s="2">
        <v>10.75</v>
      </c>
      <c r="F29" s="2">
        <v>208.55</v>
      </c>
      <c r="G29" t="s">
        <v>1100</v>
      </c>
      <c r="H29" t="s">
        <v>1100</v>
      </c>
    </row>
    <row r="30" spans="1:8">
      <c r="A30" t="s">
        <v>1147</v>
      </c>
      <c r="B30" t="s">
        <v>11</v>
      </c>
      <c r="C30" t="s">
        <v>1148</v>
      </c>
      <c r="D30" s="1">
        <v>19.32</v>
      </c>
      <c r="E30" s="2">
        <v>4.2</v>
      </c>
      <c r="F30" s="2">
        <v>81.14</v>
      </c>
      <c r="G30" t="s">
        <v>1100</v>
      </c>
      <c r="H30" t="s">
        <v>1100</v>
      </c>
    </row>
    <row r="31" spans="1:8">
      <c r="A31" t="s">
        <v>1149</v>
      </c>
      <c r="B31" t="s">
        <v>11</v>
      </c>
      <c r="C31" t="s">
        <v>1150</v>
      </c>
      <c r="D31" s="1">
        <v>19.11</v>
      </c>
      <c r="E31" s="2">
        <v>6.2</v>
      </c>
      <c r="F31" s="2">
        <v>118.48</v>
      </c>
      <c r="G31" t="s">
        <v>1100</v>
      </c>
      <c r="H31" t="s">
        <v>1100</v>
      </c>
    </row>
    <row r="32" spans="1:8">
      <c r="A32" t="s">
        <v>1151</v>
      </c>
      <c r="B32" t="s">
        <v>11</v>
      </c>
      <c r="C32" t="s">
        <v>1152</v>
      </c>
      <c r="D32" s="1">
        <v>19.89</v>
      </c>
      <c r="E32" s="2">
        <v>5.7</v>
      </c>
      <c r="F32" s="2">
        <v>113.37</v>
      </c>
      <c r="G32" t="s">
        <v>1100</v>
      </c>
      <c r="H32" t="s">
        <v>1100</v>
      </c>
    </row>
    <row r="33" spans="1:8">
      <c r="A33" t="s">
        <v>1153</v>
      </c>
      <c r="B33" t="s">
        <v>11</v>
      </c>
      <c r="C33" t="s">
        <v>1148</v>
      </c>
      <c r="D33" s="1">
        <v>19.29</v>
      </c>
      <c r="E33" s="2">
        <v>4.2</v>
      </c>
      <c r="F33" s="2">
        <v>81.02</v>
      </c>
      <c r="G33" t="s">
        <v>1100</v>
      </c>
      <c r="H33" t="s">
        <v>1100</v>
      </c>
    </row>
    <row r="34" spans="1:8">
      <c r="A34" t="s">
        <v>1154</v>
      </c>
      <c r="B34" t="s">
        <v>11</v>
      </c>
      <c r="C34" t="s">
        <v>1155</v>
      </c>
      <c r="D34" s="1">
        <v>19.23</v>
      </c>
      <c r="E34" s="2">
        <v>6.7</v>
      </c>
      <c r="F34" s="2">
        <v>128.84</v>
      </c>
      <c r="G34" t="s">
        <v>1100</v>
      </c>
      <c r="H34" t="s">
        <v>1100</v>
      </c>
    </row>
    <row r="35" spans="1:8">
      <c r="A35" t="s">
        <v>1156</v>
      </c>
      <c r="B35" t="s">
        <v>11</v>
      </c>
      <c r="C35" t="s">
        <v>1136</v>
      </c>
      <c r="D35" s="1">
        <v>19.2</v>
      </c>
      <c r="E35" s="2">
        <v>4.95</v>
      </c>
      <c r="F35" s="2">
        <v>95.04</v>
      </c>
      <c r="G35" t="s">
        <v>1100</v>
      </c>
      <c r="H35" t="s">
        <v>1100</v>
      </c>
    </row>
    <row r="36" spans="1:8">
      <c r="A36" t="s">
        <v>1157</v>
      </c>
      <c r="B36" t="s">
        <v>11</v>
      </c>
      <c r="C36" t="s">
        <v>1158</v>
      </c>
      <c r="D36" s="1">
        <v>20.54</v>
      </c>
      <c r="E36" s="2">
        <v>7.25</v>
      </c>
      <c r="F36" s="2">
        <v>148.92</v>
      </c>
      <c r="G36" t="s">
        <v>1100</v>
      </c>
      <c r="H36" t="s">
        <v>1100</v>
      </c>
    </row>
    <row r="37" spans="1:8">
      <c r="A37" t="s">
        <v>1159</v>
      </c>
      <c r="B37" t="s">
        <v>11</v>
      </c>
      <c r="C37" t="s">
        <v>1136</v>
      </c>
      <c r="D37" s="1">
        <v>20.45</v>
      </c>
      <c r="E37" s="2">
        <v>4.95</v>
      </c>
      <c r="F37" s="2">
        <v>101.23</v>
      </c>
      <c r="G37" t="s">
        <v>1100</v>
      </c>
      <c r="H37" t="s">
        <v>1100</v>
      </c>
    </row>
    <row r="38" spans="1:8">
      <c r="A38" t="s">
        <v>1160</v>
      </c>
      <c r="B38" t="s">
        <v>11</v>
      </c>
      <c r="C38" t="s">
        <v>1155</v>
      </c>
      <c r="D38" s="1">
        <v>23.17</v>
      </c>
      <c r="E38" s="2">
        <v>6.7</v>
      </c>
      <c r="F38" s="2">
        <v>155.24</v>
      </c>
      <c r="G38" t="s">
        <v>1100</v>
      </c>
      <c r="H38" t="s">
        <v>1100</v>
      </c>
    </row>
    <row r="39" spans="1:8">
      <c r="A39" t="s">
        <v>1161</v>
      </c>
      <c r="B39" t="s">
        <v>11</v>
      </c>
      <c r="C39" t="s">
        <v>1148</v>
      </c>
      <c r="D39" s="1">
        <v>20.48</v>
      </c>
      <c r="E39" s="2">
        <v>4.2</v>
      </c>
      <c r="F39" s="2">
        <v>86.02</v>
      </c>
      <c r="G39" t="s">
        <v>1100</v>
      </c>
      <c r="H39" t="s">
        <v>1100</v>
      </c>
    </row>
    <row r="40" spans="1:8">
      <c r="A40" t="s">
        <v>1162</v>
      </c>
      <c r="B40" t="s">
        <v>11</v>
      </c>
      <c r="C40" t="s">
        <v>1155</v>
      </c>
      <c r="D40" s="1">
        <v>20.21</v>
      </c>
      <c r="E40" s="2">
        <v>6.7</v>
      </c>
      <c r="F40" s="2">
        <v>135.41</v>
      </c>
      <c r="G40" t="s">
        <v>1100</v>
      </c>
      <c r="H40" t="s">
        <v>1100</v>
      </c>
    </row>
    <row r="41" spans="1:8">
      <c r="A41" t="s">
        <v>1163</v>
      </c>
      <c r="B41" t="s">
        <v>11</v>
      </c>
      <c r="C41" t="s">
        <v>1164</v>
      </c>
      <c r="D41" s="1">
        <v>20.58</v>
      </c>
      <c r="E41" s="2">
        <v>6.2</v>
      </c>
      <c r="F41" s="2">
        <v>127.6</v>
      </c>
      <c r="G41" t="s">
        <v>1100</v>
      </c>
      <c r="H41" t="s">
        <v>1100</v>
      </c>
    </row>
    <row r="42" spans="1:8">
      <c r="A42" t="s">
        <v>1165</v>
      </c>
      <c r="B42" t="s">
        <v>11</v>
      </c>
      <c r="C42" t="s">
        <v>1150</v>
      </c>
      <c r="D42" s="1">
        <v>19.6</v>
      </c>
      <c r="E42" s="2">
        <v>6.2</v>
      </c>
      <c r="F42" s="2">
        <v>121.52</v>
      </c>
      <c r="G42" t="s">
        <v>1100</v>
      </c>
      <c r="H42" t="s">
        <v>1100</v>
      </c>
    </row>
    <row r="43" spans="1:8">
      <c r="A43" t="s">
        <v>1166</v>
      </c>
      <c r="B43" t="s">
        <v>11</v>
      </c>
      <c r="C43" t="s">
        <v>1136</v>
      </c>
      <c r="D43" s="1">
        <v>19.33</v>
      </c>
      <c r="E43" s="2">
        <v>4.95</v>
      </c>
      <c r="F43" s="2">
        <v>95.68</v>
      </c>
      <c r="G43" t="s">
        <v>1100</v>
      </c>
      <c r="H43" t="s">
        <v>1100</v>
      </c>
    </row>
    <row r="44" spans="1:8">
      <c r="A44" t="s">
        <v>1167</v>
      </c>
      <c r="B44" t="s">
        <v>11</v>
      </c>
      <c r="C44" t="s">
        <v>1168</v>
      </c>
      <c r="D44" s="1">
        <v>19.34</v>
      </c>
      <c r="E44" s="2">
        <v>7.1</v>
      </c>
      <c r="F44" s="2">
        <v>137.31</v>
      </c>
      <c r="G44" t="s">
        <v>1100</v>
      </c>
      <c r="H44" t="s">
        <v>1100</v>
      </c>
    </row>
    <row r="45" spans="1:8">
      <c r="A45" t="s">
        <v>1169</v>
      </c>
      <c r="B45" t="s">
        <v>11</v>
      </c>
      <c r="C45" t="s">
        <v>1146</v>
      </c>
      <c r="D45" s="1">
        <v>19.9</v>
      </c>
      <c r="E45" s="2">
        <v>10.75</v>
      </c>
      <c r="F45" s="2">
        <v>213.93</v>
      </c>
      <c r="G45" t="s">
        <v>1100</v>
      </c>
      <c r="H45" t="s">
        <v>1100</v>
      </c>
    </row>
    <row r="46" spans="1:8">
      <c r="A46" t="s">
        <v>1170</v>
      </c>
      <c r="B46" t="s">
        <v>11</v>
      </c>
      <c r="C46" t="s">
        <v>1171</v>
      </c>
      <c r="D46" s="1">
        <v>19.23</v>
      </c>
      <c r="E46" s="2">
        <v>6.2</v>
      </c>
      <c r="F46" s="2">
        <v>119.23</v>
      </c>
      <c r="G46" t="s">
        <v>1100</v>
      </c>
      <c r="H46" t="s">
        <v>1100</v>
      </c>
    </row>
    <row r="47" spans="1:8">
      <c r="A47" t="s">
        <v>1172</v>
      </c>
      <c r="B47" t="s">
        <v>11</v>
      </c>
      <c r="C47" t="s">
        <v>1173</v>
      </c>
      <c r="D47" s="1">
        <v>19.23</v>
      </c>
      <c r="E47" s="2">
        <v>5.45</v>
      </c>
      <c r="F47" s="2">
        <v>104.8</v>
      </c>
      <c r="G47" t="s">
        <v>1100</v>
      </c>
      <c r="H47" t="s">
        <v>1100</v>
      </c>
    </row>
    <row r="48" spans="1:8">
      <c r="A48" t="s">
        <v>1174</v>
      </c>
      <c r="B48" t="s">
        <v>11</v>
      </c>
      <c r="C48" t="s">
        <v>1168</v>
      </c>
      <c r="D48" s="1">
        <v>20.84</v>
      </c>
      <c r="E48" s="2">
        <v>7.1</v>
      </c>
      <c r="F48" s="2">
        <v>147.96</v>
      </c>
      <c r="G48" t="s">
        <v>1100</v>
      </c>
      <c r="H48" t="s">
        <v>1100</v>
      </c>
    </row>
    <row r="49" spans="1:8">
      <c r="A49" t="s">
        <v>1175</v>
      </c>
      <c r="B49" t="s">
        <v>11</v>
      </c>
      <c r="C49" t="s">
        <v>1176</v>
      </c>
      <c r="D49" s="1">
        <v>1</v>
      </c>
      <c r="E49" s="2">
        <v>60</v>
      </c>
      <c r="F49" s="2">
        <v>60</v>
      </c>
      <c r="G49" t="s">
        <v>1100</v>
      </c>
      <c r="H49" t="s">
        <v>1100</v>
      </c>
    </row>
    <row r="50" spans="1:8">
      <c r="A50" t="s">
        <v>1175</v>
      </c>
      <c r="B50" t="s">
        <v>11</v>
      </c>
      <c r="C50" t="s">
        <v>1176</v>
      </c>
      <c r="D50" s="1">
        <v>1</v>
      </c>
      <c r="E50" s="2">
        <v>60</v>
      </c>
      <c r="F50" s="2">
        <v>60</v>
      </c>
      <c r="G50" t="s">
        <v>1100</v>
      </c>
      <c r="H50" t="s">
        <v>1100</v>
      </c>
    </row>
    <row r="51" spans="1:8">
      <c r="A51" t="s">
        <v>1177</v>
      </c>
      <c r="B51" t="s">
        <v>11</v>
      </c>
      <c r="C51" t="s">
        <v>1150</v>
      </c>
      <c r="D51" s="1">
        <v>19.33</v>
      </c>
      <c r="E51" s="2">
        <v>6.2</v>
      </c>
      <c r="F51" s="2">
        <v>119.85</v>
      </c>
      <c r="G51" t="s">
        <v>1100</v>
      </c>
      <c r="H51" t="s">
        <v>1100</v>
      </c>
    </row>
    <row r="52" spans="1:8">
      <c r="A52" t="s">
        <v>1178</v>
      </c>
      <c r="B52" t="s">
        <v>11</v>
      </c>
      <c r="C52" t="s">
        <v>1148</v>
      </c>
      <c r="D52" s="1">
        <v>19.23</v>
      </c>
      <c r="E52" s="2">
        <v>4.2</v>
      </c>
      <c r="F52" s="2">
        <v>80.77</v>
      </c>
      <c r="G52" t="s">
        <v>1100</v>
      </c>
      <c r="H52" t="s">
        <v>1100</v>
      </c>
    </row>
    <row r="53" spans="1:8">
      <c r="A53" t="s">
        <v>1179</v>
      </c>
      <c r="B53" t="s">
        <v>11</v>
      </c>
      <c r="C53" t="s">
        <v>1180</v>
      </c>
      <c r="D53" s="1">
        <v>19.38</v>
      </c>
      <c r="E53" s="2">
        <v>8.05</v>
      </c>
      <c r="F53" s="2">
        <v>156.01</v>
      </c>
      <c r="G53" t="s">
        <v>1100</v>
      </c>
      <c r="H53" t="s">
        <v>1100</v>
      </c>
    </row>
    <row r="54" spans="1:8">
      <c r="A54" t="s">
        <v>1181</v>
      </c>
      <c r="B54" t="s">
        <v>11</v>
      </c>
      <c r="C54" t="s">
        <v>1138</v>
      </c>
      <c r="D54" s="1">
        <v>19.33</v>
      </c>
      <c r="E54" s="2">
        <v>8.25</v>
      </c>
      <c r="F54" s="2">
        <v>159.47</v>
      </c>
      <c r="G54" t="s">
        <v>1100</v>
      </c>
      <c r="H54" t="s">
        <v>1100</v>
      </c>
    </row>
    <row r="55" spans="1:8">
      <c r="A55" t="s">
        <v>1182</v>
      </c>
      <c r="B55" t="s">
        <v>11</v>
      </c>
      <c r="C55" t="s">
        <v>1183</v>
      </c>
      <c r="D55" s="1">
        <v>19.35</v>
      </c>
      <c r="E55" s="2">
        <v>6.45</v>
      </c>
      <c r="F55" s="2">
        <v>124.81</v>
      </c>
      <c r="G55" t="s">
        <v>1100</v>
      </c>
      <c r="H55" t="s">
        <v>1100</v>
      </c>
    </row>
    <row r="56" spans="1:8">
      <c r="A56" t="s">
        <v>1184</v>
      </c>
      <c r="B56" t="s">
        <v>11</v>
      </c>
      <c r="C56" t="s">
        <v>1150</v>
      </c>
      <c r="D56" s="1">
        <v>19.97</v>
      </c>
      <c r="E56" s="2">
        <v>6.2</v>
      </c>
      <c r="F56" s="2">
        <v>123.81</v>
      </c>
      <c r="G56" t="s">
        <v>1100</v>
      </c>
      <c r="H56" t="s">
        <v>1100</v>
      </c>
    </row>
    <row r="57" spans="1:8">
      <c r="A57" t="s">
        <v>1185</v>
      </c>
      <c r="B57" t="s">
        <v>1186</v>
      </c>
      <c r="C57" t="s">
        <v>1187</v>
      </c>
      <c r="D57" s="1">
        <v>19.35</v>
      </c>
      <c r="E57" s="2">
        <v>4.15</v>
      </c>
      <c r="F57" s="2">
        <v>80.3</v>
      </c>
      <c r="G57" t="s">
        <v>1188</v>
      </c>
      <c r="H57" t="s">
        <v>1188</v>
      </c>
    </row>
    <row r="58" spans="1:8">
      <c r="A58" t="s">
        <v>1189</v>
      </c>
      <c r="B58" t="s">
        <v>1190</v>
      </c>
      <c r="C58" t="s">
        <v>1191</v>
      </c>
      <c r="D58" s="1">
        <v>21.09</v>
      </c>
      <c r="E58" s="2">
        <v>3.25</v>
      </c>
      <c r="F58" s="2">
        <v>68.54</v>
      </c>
      <c r="G58" t="s">
        <v>1192</v>
      </c>
      <c r="H58" t="s">
        <v>1193</v>
      </c>
    </row>
    <row r="59" spans="1:8">
      <c r="A59" t="s">
        <v>1194</v>
      </c>
      <c r="B59" t="s">
        <v>1190</v>
      </c>
      <c r="C59" t="s">
        <v>1195</v>
      </c>
      <c r="D59" s="1">
        <v>21.22</v>
      </c>
      <c r="E59" s="2">
        <v>3.95</v>
      </c>
      <c r="F59" s="2">
        <v>83.82</v>
      </c>
      <c r="G59" t="s">
        <v>1196</v>
      </c>
      <c r="H59" t="s">
        <v>1196</v>
      </c>
    </row>
    <row r="60" spans="1:8">
      <c r="A60" t="s">
        <v>1197</v>
      </c>
      <c r="B60" t="s">
        <v>1190</v>
      </c>
      <c r="C60" t="s">
        <v>1198</v>
      </c>
      <c r="D60" s="1">
        <v>21.48</v>
      </c>
      <c r="E60" s="2">
        <v>4.4</v>
      </c>
      <c r="F60" s="2">
        <v>94.51</v>
      </c>
      <c r="G60" t="s">
        <v>1199</v>
      </c>
      <c r="H60" t="s">
        <v>1199</v>
      </c>
    </row>
    <row r="61" spans="1:8">
      <c r="A61" t="s">
        <v>1200</v>
      </c>
      <c r="B61" t="s">
        <v>1190</v>
      </c>
      <c r="C61" t="s">
        <v>1201</v>
      </c>
      <c r="D61" s="1">
        <v>18.08</v>
      </c>
      <c r="E61" s="2">
        <v>4.3</v>
      </c>
      <c r="F61" s="2">
        <v>77.74</v>
      </c>
      <c r="G61" t="s">
        <v>1090</v>
      </c>
      <c r="H61" t="s">
        <v>1090</v>
      </c>
    </row>
    <row r="62" spans="1:8">
      <c r="A62" t="s">
        <v>1202</v>
      </c>
      <c r="B62" t="s">
        <v>1190</v>
      </c>
      <c r="C62" t="s">
        <v>1203</v>
      </c>
      <c r="D62" s="1">
        <v>21.59</v>
      </c>
      <c r="E62" s="2">
        <v>4.3</v>
      </c>
      <c r="F62" s="2">
        <v>92.84</v>
      </c>
      <c r="G62" t="s">
        <v>1188</v>
      </c>
      <c r="H62" t="s">
        <v>1188</v>
      </c>
    </row>
    <row r="63" spans="1:8">
      <c r="A63" t="s">
        <v>1204</v>
      </c>
      <c r="B63" t="s">
        <v>1190</v>
      </c>
      <c r="C63" t="s">
        <v>1205</v>
      </c>
      <c r="D63" s="1">
        <v>19.49</v>
      </c>
      <c r="E63" s="2">
        <v>7.55</v>
      </c>
      <c r="F63" s="2">
        <v>147.15</v>
      </c>
      <c r="G63" t="s">
        <v>1100</v>
      </c>
      <c r="H63" t="s">
        <v>1100</v>
      </c>
    </row>
    <row r="64" spans="1:8">
      <c r="A64" t="s">
        <v>1206</v>
      </c>
      <c r="B64" t="s">
        <v>1190</v>
      </c>
      <c r="C64" t="s">
        <v>1205</v>
      </c>
      <c r="D64" s="1">
        <v>19.51</v>
      </c>
      <c r="E64" s="2">
        <v>7.55</v>
      </c>
      <c r="F64" s="2">
        <v>147.3</v>
      </c>
      <c r="G64" t="s">
        <v>1100</v>
      </c>
      <c r="H64" t="s">
        <v>1100</v>
      </c>
    </row>
    <row r="65" spans="1:8">
      <c r="A65" t="s">
        <v>1207</v>
      </c>
      <c r="B65" t="s">
        <v>1190</v>
      </c>
      <c r="C65" t="s">
        <v>1205</v>
      </c>
      <c r="D65" s="1">
        <v>19.57</v>
      </c>
      <c r="E65" s="2">
        <v>7.55</v>
      </c>
      <c r="F65" s="2">
        <v>147.75</v>
      </c>
      <c r="G65" t="s">
        <v>1100</v>
      </c>
      <c r="H65" t="s">
        <v>1100</v>
      </c>
    </row>
    <row r="66" spans="1:8">
      <c r="A66" t="s">
        <v>1208</v>
      </c>
      <c r="B66" t="s">
        <v>1190</v>
      </c>
      <c r="C66" t="s">
        <v>1209</v>
      </c>
      <c r="D66" s="1">
        <v>19.56</v>
      </c>
      <c r="E66" s="2">
        <v>4.2</v>
      </c>
      <c r="F66" s="2">
        <v>82.15</v>
      </c>
      <c r="G66" t="s">
        <v>1100</v>
      </c>
      <c r="H66" t="s">
        <v>1100</v>
      </c>
    </row>
    <row r="67" spans="1:8">
      <c r="A67" t="s">
        <v>1210</v>
      </c>
      <c r="B67" t="s">
        <v>1211</v>
      </c>
      <c r="C67" t="s">
        <v>1212</v>
      </c>
      <c r="D67" s="1">
        <v>21.91</v>
      </c>
      <c r="E67" s="2">
        <v>7.15</v>
      </c>
      <c r="F67" s="2">
        <v>156.66</v>
      </c>
      <c r="G67" t="s">
        <v>1213</v>
      </c>
      <c r="H67" t="s">
        <v>1213</v>
      </c>
    </row>
    <row r="68" spans="1:8">
      <c r="A68" t="s">
        <v>1214</v>
      </c>
      <c r="B68" t="s">
        <v>1211</v>
      </c>
      <c r="C68" t="s">
        <v>1215</v>
      </c>
      <c r="D68" s="1">
        <v>20.85</v>
      </c>
      <c r="E68" s="2">
        <v>5.2</v>
      </c>
      <c r="F68" s="2">
        <v>108.42</v>
      </c>
      <c r="G68" t="s">
        <v>1216</v>
      </c>
      <c r="H68" t="s">
        <v>1216</v>
      </c>
    </row>
    <row r="69" spans="1:8">
      <c r="A69" t="s">
        <v>1217</v>
      </c>
      <c r="B69" t="s">
        <v>1218</v>
      </c>
      <c r="C69" t="s">
        <v>1219</v>
      </c>
      <c r="D69" s="1">
        <v>18.63</v>
      </c>
      <c r="E69" s="2">
        <v>4.95</v>
      </c>
      <c r="F69" s="2">
        <v>92.22</v>
      </c>
      <c r="G69" t="s">
        <v>1220</v>
      </c>
      <c r="H69" t="s">
        <v>1220</v>
      </c>
    </row>
    <row r="70" spans="1:8">
      <c r="A70" t="s">
        <v>1221</v>
      </c>
      <c r="B70" t="s">
        <v>1218</v>
      </c>
      <c r="C70" t="s">
        <v>1222</v>
      </c>
      <c r="D70" s="1">
        <v>18.67</v>
      </c>
      <c r="E70" s="2">
        <v>6.4</v>
      </c>
      <c r="F70" s="2">
        <v>119.49</v>
      </c>
      <c r="G70" t="s">
        <v>1220</v>
      </c>
      <c r="H70" t="s">
        <v>1220</v>
      </c>
    </row>
    <row r="71" spans="1:8">
      <c r="A71" t="s">
        <v>1223</v>
      </c>
      <c r="B71" t="s">
        <v>1218</v>
      </c>
      <c r="C71" t="s">
        <v>1224</v>
      </c>
      <c r="D71" s="1">
        <v>1</v>
      </c>
      <c r="E71" s="2">
        <v>20</v>
      </c>
      <c r="F71" s="2">
        <v>20</v>
      </c>
      <c r="G71" t="s">
        <v>1225</v>
      </c>
      <c r="H71" t="s">
        <v>1226</v>
      </c>
    </row>
    <row r="72" spans="1:8">
      <c r="A72" t="s">
        <v>1227</v>
      </c>
      <c r="B72" t="s">
        <v>1218</v>
      </c>
      <c r="C72" t="s">
        <v>1228</v>
      </c>
      <c r="D72" s="1">
        <v>20.14</v>
      </c>
      <c r="E72" s="2">
        <v>5.7</v>
      </c>
      <c r="F72" s="2">
        <v>114.8</v>
      </c>
      <c r="G72" t="s">
        <v>1229</v>
      </c>
      <c r="H72" t="s">
        <v>1230</v>
      </c>
    </row>
    <row r="73" spans="1:8">
      <c r="A73" t="s">
        <v>1231</v>
      </c>
      <c r="B73" t="s">
        <v>1218</v>
      </c>
      <c r="C73" t="s">
        <v>1232</v>
      </c>
      <c r="D73" s="1">
        <v>19.43</v>
      </c>
      <c r="E73" s="2">
        <v>5.2</v>
      </c>
      <c r="F73" s="2">
        <v>101.04</v>
      </c>
      <c r="G73" t="s">
        <v>1086</v>
      </c>
      <c r="H73" t="s">
        <v>1086</v>
      </c>
    </row>
    <row r="74" spans="1:8">
      <c r="A74" t="s">
        <v>1233</v>
      </c>
      <c r="B74" t="s">
        <v>1234</v>
      </c>
      <c r="C74" t="s">
        <v>1235</v>
      </c>
      <c r="D74" s="1">
        <v>18.16</v>
      </c>
      <c r="E74" s="2">
        <v>4.55</v>
      </c>
      <c r="F74" s="2">
        <v>82.63</v>
      </c>
      <c r="G74" t="s">
        <v>1236</v>
      </c>
      <c r="H74" t="s">
        <v>1236</v>
      </c>
    </row>
    <row r="75" spans="1:8">
      <c r="A75" t="s">
        <v>1237</v>
      </c>
      <c r="B75" t="s">
        <v>1234</v>
      </c>
      <c r="C75" t="s">
        <v>1238</v>
      </c>
      <c r="D75" s="1">
        <v>18.09</v>
      </c>
      <c r="E75" s="2">
        <v>4.55</v>
      </c>
      <c r="F75" s="2">
        <v>82.31</v>
      </c>
      <c r="G75" t="s">
        <v>1239</v>
      </c>
      <c r="H75" t="s">
        <v>1239</v>
      </c>
    </row>
    <row r="76" spans="1:8">
      <c r="A76" t="s">
        <v>1240</v>
      </c>
      <c r="B76" t="s">
        <v>1234</v>
      </c>
      <c r="C76" t="s">
        <v>1241</v>
      </c>
      <c r="D76" s="1">
        <v>14.49</v>
      </c>
      <c r="E76" s="2">
        <v>4</v>
      </c>
      <c r="F76" s="2">
        <v>57.96</v>
      </c>
      <c r="G76" t="s">
        <v>1242</v>
      </c>
      <c r="H76" t="s">
        <v>1242</v>
      </c>
    </row>
    <row r="77" spans="1:8">
      <c r="A77" t="s">
        <v>1243</v>
      </c>
      <c r="B77" t="s">
        <v>1234</v>
      </c>
      <c r="C77" t="s">
        <v>1244</v>
      </c>
      <c r="D77" s="1">
        <v>17.89</v>
      </c>
      <c r="E77" s="2">
        <v>4.55</v>
      </c>
      <c r="F77" s="2">
        <v>81.4</v>
      </c>
      <c r="G77" t="s">
        <v>1245</v>
      </c>
      <c r="H77" t="s">
        <v>1245</v>
      </c>
    </row>
    <row r="78" spans="1:8">
      <c r="A78" t="s">
        <v>1246</v>
      </c>
      <c r="B78" t="s">
        <v>1234</v>
      </c>
      <c r="C78" t="s">
        <v>1247</v>
      </c>
      <c r="D78" s="1">
        <v>18.17</v>
      </c>
      <c r="E78" s="2">
        <v>4.95</v>
      </c>
      <c r="F78" s="2">
        <v>89.94</v>
      </c>
      <c r="G78" t="s">
        <v>1248</v>
      </c>
      <c r="H78" t="s">
        <v>1248</v>
      </c>
    </row>
    <row r="79" spans="1:8">
      <c r="A79" t="s">
        <v>1249</v>
      </c>
      <c r="B79" t="s">
        <v>1234</v>
      </c>
      <c r="C79" t="s">
        <v>1247</v>
      </c>
      <c r="D79" s="1">
        <v>18.19</v>
      </c>
      <c r="E79" s="2">
        <v>4.95</v>
      </c>
      <c r="F79" s="2">
        <v>90.04</v>
      </c>
      <c r="G79" t="s">
        <v>1248</v>
      </c>
      <c r="H79" t="s">
        <v>1248</v>
      </c>
    </row>
    <row r="80" spans="1:8">
      <c r="A80" t="s">
        <v>1250</v>
      </c>
      <c r="B80" t="s">
        <v>1251</v>
      </c>
      <c r="C80" t="s">
        <v>1252</v>
      </c>
      <c r="D80" s="1">
        <v>24.35</v>
      </c>
      <c r="E80" s="2">
        <v>5.2</v>
      </c>
      <c r="F80" s="2">
        <v>126.62</v>
      </c>
      <c r="G80" t="s">
        <v>1253</v>
      </c>
      <c r="H80" t="s">
        <v>1253</v>
      </c>
    </row>
    <row r="81" spans="1:8">
      <c r="A81" t="s">
        <v>1254</v>
      </c>
      <c r="B81" t="s">
        <v>67</v>
      </c>
      <c r="C81" t="s">
        <v>1255</v>
      </c>
      <c r="D81" s="1">
        <v>19.6</v>
      </c>
      <c r="E81" s="2">
        <v>3.7</v>
      </c>
      <c r="F81" s="2">
        <v>72.52</v>
      </c>
      <c r="G81" t="s">
        <v>1256</v>
      </c>
      <c r="H81" t="s">
        <v>1256</v>
      </c>
    </row>
    <row r="82" spans="1:8">
      <c r="A82" t="s">
        <v>1257</v>
      </c>
      <c r="B82" t="s">
        <v>67</v>
      </c>
      <c r="C82" t="s">
        <v>1258</v>
      </c>
      <c r="D82" s="1">
        <v>19.55</v>
      </c>
      <c r="E82" s="2">
        <v>4.15</v>
      </c>
      <c r="F82" s="2">
        <v>81.13</v>
      </c>
      <c r="G82" t="s">
        <v>1090</v>
      </c>
      <c r="H82" t="s">
        <v>1090</v>
      </c>
    </row>
    <row r="83" spans="1:8">
      <c r="A83" t="s">
        <v>1259</v>
      </c>
      <c r="B83" t="s">
        <v>67</v>
      </c>
      <c r="C83" t="s">
        <v>1260</v>
      </c>
      <c r="D83" s="1">
        <v>19.4</v>
      </c>
      <c r="E83" s="2">
        <v>4.15</v>
      </c>
      <c r="F83" s="2">
        <v>80.51</v>
      </c>
      <c r="G83" t="s">
        <v>1261</v>
      </c>
      <c r="H83" t="s">
        <v>1261</v>
      </c>
    </row>
    <row r="84" spans="1:8">
      <c r="A84" t="s">
        <v>1262</v>
      </c>
      <c r="B84" t="s">
        <v>1263</v>
      </c>
      <c r="C84" t="s">
        <v>1264</v>
      </c>
      <c r="D84" s="1">
        <v>18.69</v>
      </c>
      <c r="E84" s="2">
        <v>3.25</v>
      </c>
      <c r="F84" s="2">
        <v>60.74</v>
      </c>
      <c r="G84" t="s">
        <v>1213</v>
      </c>
      <c r="H84" t="s">
        <v>1213</v>
      </c>
    </row>
    <row r="85" spans="1:8">
      <c r="A85" t="s">
        <v>1265</v>
      </c>
      <c r="B85" t="s">
        <v>128</v>
      </c>
      <c r="C85" t="s">
        <v>1266</v>
      </c>
      <c r="D85" s="1">
        <v>19.89</v>
      </c>
      <c r="E85" s="2">
        <v>5.95</v>
      </c>
      <c r="F85" s="2">
        <v>118.35</v>
      </c>
      <c r="G85" t="s">
        <v>1267</v>
      </c>
      <c r="H85" t="s">
        <v>1267</v>
      </c>
    </row>
    <row r="86" spans="1:8">
      <c r="A86" t="s">
        <v>1268</v>
      </c>
      <c r="B86" t="s">
        <v>128</v>
      </c>
      <c r="C86" t="s">
        <v>1269</v>
      </c>
      <c r="D86" s="1">
        <v>19.82</v>
      </c>
      <c r="E86" s="2">
        <v>3.7</v>
      </c>
      <c r="F86" s="2">
        <v>73.33</v>
      </c>
      <c r="G86" t="s">
        <v>1256</v>
      </c>
      <c r="H86" t="s">
        <v>1256</v>
      </c>
    </row>
    <row r="87" spans="1:8">
      <c r="A87" t="s">
        <v>1270</v>
      </c>
      <c r="B87" t="s">
        <v>1271</v>
      </c>
      <c r="C87" t="s">
        <v>1272</v>
      </c>
      <c r="D87" s="1">
        <v>22.08</v>
      </c>
      <c r="E87" s="2">
        <v>7.3</v>
      </c>
      <c r="F87" s="2">
        <v>161.18</v>
      </c>
      <c r="G87" t="s">
        <v>1273</v>
      </c>
      <c r="H87" t="s">
        <v>1273</v>
      </c>
    </row>
    <row r="88" spans="1:8">
      <c r="A88" t="s">
        <v>1274</v>
      </c>
      <c r="B88" t="s">
        <v>1271</v>
      </c>
      <c r="C88" t="s">
        <v>1275</v>
      </c>
      <c r="D88" s="1">
        <v>19.71</v>
      </c>
      <c r="E88" s="2">
        <v>4.5</v>
      </c>
      <c r="F88" s="2">
        <v>88.7</v>
      </c>
      <c r="G88" t="s">
        <v>1276</v>
      </c>
      <c r="H88" t="s">
        <v>1276</v>
      </c>
    </row>
    <row r="89" spans="1:8">
      <c r="A89" t="s">
        <v>1277</v>
      </c>
      <c r="B89" t="s">
        <v>174</v>
      </c>
      <c r="C89" t="s">
        <v>1278</v>
      </c>
      <c r="D89" s="1">
        <v>1</v>
      </c>
      <c r="E89" s="2">
        <v>150</v>
      </c>
      <c r="F89" s="2">
        <v>150</v>
      </c>
      <c r="G89" t="s">
        <v>1279</v>
      </c>
      <c r="H89" t="s">
        <v>1279</v>
      </c>
    </row>
    <row r="90" spans="1:8">
      <c r="A90" t="s">
        <v>1280</v>
      </c>
      <c r="B90" t="s">
        <v>1281</v>
      </c>
      <c r="C90" t="s">
        <v>1282</v>
      </c>
      <c r="D90" s="1">
        <v>19.77</v>
      </c>
      <c r="E90" s="2">
        <v>4.15</v>
      </c>
      <c r="F90" s="2">
        <v>82.05</v>
      </c>
      <c r="G90" t="s">
        <v>1273</v>
      </c>
      <c r="H90" t="s">
        <v>1273</v>
      </c>
    </row>
    <row r="91" spans="1:8">
      <c r="A91" t="s">
        <v>1283</v>
      </c>
      <c r="B91" t="s">
        <v>1281</v>
      </c>
      <c r="C91" t="s">
        <v>1284</v>
      </c>
      <c r="D91" s="1">
        <v>16.33</v>
      </c>
      <c r="E91" s="2">
        <v>3.95</v>
      </c>
      <c r="F91" s="2">
        <v>64.5</v>
      </c>
      <c r="G91" t="s">
        <v>1213</v>
      </c>
      <c r="H91" t="s">
        <v>1213</v>
      </c>
    </row>
    <row r="92" spans="1:8">
      <c r="A92" t="s">
        <v>1285</v>
      </c>
      <c r="B92" t="s">
        <v>1281</v>
      </c>
      <c r="C92" t="s">
        <v>1286</v>
      </c>
      <c r="D92" s="1">
        <v>16.35</v>
      </c>
      <c r="E92" s="2">
        <v>3.45</v>
      </c>
      <c r="F92" s="2">
        <v>56.41</v>
      </c>
      <c r="G92" t="s">
        <v>1287</v>
      </c>
      <c r="H92" t="s">
        <v>1287</v>
      </c>
    </row>
    <row r="93" spans="1:8">
      <c r="A93" t="s">
        <v>1288</v>
      </c>
      <c r="B93" t="s">
        <v>203</v>
      </c>
      <c r="C93" t="s">
        <v>1289</v>
      </c>
      <c r="D93" s="1">
        <v>19.15</v>
      </c>
      <c r="E93" s="2">
        <v>5.45</v>
      </c>
      <c r="F93" s="2">
        <v>104.37</v>
      </c>
      <c r="G93" t="s">
        <v>1290</v>
      </c>
      <c r="H93" t="s">
        <v>1290</v>
      </c>
    </row>
    <row r="94" spans="1:8">
      <c r="A94" t="s">
        <v>1291</v>
      </c>
      <c r="B94" t="s">
        <v>203</v>
      </c>
      <c r="C94" t="s">
        <v>1292</v>
      </c>
      <c r="D94" s="1">
        <v>21.89</v>
      </c>
      <c r="E94" s="2">
        <v>4.3</v>
      </c>
      <c r="F94" s="2">
        <v>94.13</v>
      </c>
      <c r="G94" t="s">
        <v>1293</v>
      </c>
      <c r="H94" t="s">
        <v>1293</v>
      </c>
    </row>
    <row r="95" spans="1:8">
      <c r="A95" t="s">
        <v>1294</v>
      </c>
      <c r="B95" t="s">
        <v>203</v>
      </c>
      <c r="C95" t="s">
        <v>1295</v>
      </c>
      <c r="D95" s="1">
        <v>20</v>
      </c>
      <c r="E95" s="2">
        <v>3.95</v>
      </c>
      <c r="F95" s="2">
        <v>79</v>
      </c>
      <c r="G95" t="s">
        <v>1114</v>
      </c>
      <c r="H95" t="s">
        <v>1114</v>
      </c>
    </row>
    <row r="96" spans="1:8">
      <c r="A96" t="s">
        <v>1296</v>
      </c>
      <c r="B96" t="s">
        <v>301</v>
      </c>
      <c r="C96" t="s">
        <v>1297</v>
      </c>
      <c r="D96" s="1">
        <v>18.1</v>
      </c>
      <c r="E96" s="2">
        <v>3.7</v>
      </c>
      <c r="F96" s="2">
        <v>66.97</v>
      </c>
      <c r="G96" t="s">
        <v>1220</v>
      </c>
      <c r="H96" t="s">
        <v>1220</v>
      </c>
    </row>
    <row r="97" spans="1:8">
      <c r="A97" t="s">
        <v>1298</v>
      </c>
      <c r="B97" t="s">
        <v>301</v>
      </c>
      <c r="C97" t="s">
        <v>1299</v>
      </c>
      <c r="D97" s="1">
        <v>20.34</v>
      </c>
      <c r="E97" s="2">
        <v>4.4</v>
      </c>
      <c r="F97" s="2">
        <v>89.5</v>
      </c>
      <c r="G97" t="s">
        <v>1236</v>
      </c>
      <c r="H97" t="s">
        <v>1236</v>
      </c>
    </row>
    <row r="98" spans="1:8">
      <c r="A98" t="s">
        <v>1300</v>
      </c>
      <c r="B98" t="s">
        <v>301</v>
      </c>
      <c r="C98" t="s">
        <v>1301</v>
      </c>
      <c r="D98" s="1">
        <v>19.88</v>
      </c>
      <c r="E98" s="2">
        <v>3.85</v>
      </c>
      <c r="F98" s="2">
        <v>76.54</v>
      </c>
      <c r="G98" t="s">
        <v>1114</v>
      </c>
      <c r="H98" t="s">
        <v>1114</v>
      </c>
    </row>
    <row r="99" spans="1:8">
      <c r="A99" t="s">
        <v>1302</v>
      </c>
      <c r="B99" t="s">
        <v>1303</v>
      </c>
      <c r="C99" t="s">
        <v>1304</v>
      </c>
      <c r="D99" s="1">
        <v>18.22</v>
      </c>
      <c r="E99" s="2">
        <v>4.9</v>
      </c>
      <c r="F99" s="2">
        <v>89.28</v>
      </c>
      <c r="G99" t="s">
        <v>1305</v>
      </c>
      <c r="H99" t="s">
        <v>1305</v>
      </c>
    </row>
    <row r="100" spans="1:8">
      <c r="A100" t="s">
        <v>1306</v>
      </c>
      <c r="B100" t="s">
        <v>1303</v>
      </c>
      <c r="C100" t="s">
        <v>1307</v>
      </c>
      <c r="D100" s="1">
        <v>18.38</v>
      </c>
      <c r="E100" s="2">
        <v>4.15</v>
      </c>
      <c r="F100" s="2">
        <v>76.28</v>
      </c>
      <c r="G100" t="s">
        <v>1308</v>
      </c>
      <c r="H100" t="s">
        <v>1308</v>
      </c>
    </row>
    <row r="101" spans="1:8">
      <c r="A101" t="s">
        <v>1309</v>
      </c>
      <c r="B101" t="s">
        <v>350</v>
      </c>
      <c r="C101" t="s">
        <v>1310</v>
      </c>
      <c r="D101" s="1">
        <v>20.25</v>
      </c>
      <c r="E101" s="2">
        <v>4.95</v>
      </c>
      <c r="F101" s="2">
        <v>100.24</v>
      </c>
      <c r="G101" t="s">
        <v>1236</v>
      </c>
      <c r="H101" t="s">
        <v>1236</v>
      </c>
    </row>
    <row r="102" spans="1:8">
      <c r="A102" t="s">
        <v>1311</v>
      </c>
      <c r="B102" t="s">
        <v>350</v>
      </c>
      <c r="C102" t="s">
        <v>1312</v>
      </c>
      <c r="D102" s="1">
        <v>17.93</v>
      </c>
      <c r="E102" s="2">
        <v>9.05</v>
      </c>
      <c r="F102" s="2">
        <v>162.27</v>
      </c>
      <c r="G102" t="s">
        <v>1313</v>
      </c>
      <c r="H102" t="s">
        <v>1313</v>
      </c>
    </row>
    <row r="103" spans="1:8">
      <c r="A103" t="s">
        <v>1314</v>
      </c>
      <c r="B103" t="s">
        <v>363</v>
      </c>
      <c r="C103" t="s">
        <v>1315</v>
      </c>
      <c r="D103" s="1">
        <v>21.08</v>
      </c>
      <c r="E103" s="2">
        <v>4.95</v>
      </c>
      <c r="F103" s="2">
        <v>104.35</v>
      </c>
      <c r="G103" t="s">
        <v>1118</v>
      </c>
      <c r="H103" t="s">
        <v>1118</v>
      </c>
    </row>
    <row r="104" spans="1:8">
      <c r="A104" t="s">
        <v>1316</v>
      </c>
      <c r="B104" t="s">
        <v>363</v>
      </c>
      <c r="C104" t="s">
        <v>309</v>
      </c>
      <c r="D104" s="1">
        <v>21.06</v>
      </c>
      <c r="E104" s="2">
        <v>4.55</v>
      </c>
      <c r="F104" s="2">
        <v>95.82</v>
      </c>
      <c r="G104" t="s">
        <v>1290</v>
      </c>
      <c r="H104" t="s">
        <v>1290</v>
      </c>
    </row>
    <row r="105" spans="1:8">
      <c r="A105" t="s">
        <v>1317</v>
      </c>
      <c r="B105" t="s">
        <v>1318</v>
      </c>
      <c r="C105" t="s">
        <v>1319</v>
      </c>
      <c r="D105" s="1">
        <v>18.1</v>
      </c>
      <c r="E105" s="2">
        <v>3.25</v>
      </c>
      <c r="F105" s="2">
        <v>58.83</v>
      </c>
      <c r="G105" t="s">
        <v>1216</v>
      </c>
      <c r="H105" t="s">
        <v>1216</v>
      </c>
    </row>
    <row r="106" spans="1:8">
      <c r="A106" t="s">
        <v>1320</v>
      </c>
      <c r="B106" t="s">
        <v>1318</v>
      </c>
      <c r="C106" t="s">
        <v>1321</v>
      </c>
      <c r="D106" s="1">
        <v>17.78</v>
      </c>
      <c r="E106" s="2">
        <v>5.45</v>
      </c>
      <c r="F106" s="2">
        <v>96.9</v>
      </c>
      <c r="G106" t="s">
        <v>1199</v>
      </c>
      <c r="H106" t="s">
        <v>1199</v>
      </c>
    </row>
    <row r="107" spans="1:8">
      <c r="A107" t="s">
        <v>1322</v>
      </c>
      <c r="B107" t="s">
        <v>1323</v>
      </c>
      <c r="C107" t="s">
        <v>1324</v>
      </c>
      <c r="D107" s="1">
        <v>18.2</v>
      </c>
      <c r="E107" s="2">
        <v>4.55</v>
      </c>
      <c r="F107" s="2">
        <v>82.81</v>
      </c>
      <c r="G107" t="s">
        <v>1094</v>
      </c>
      <c r="H107" t="s">
        <v>1094</v>
      </c>
    </row>
    <row r="108" spans="1:8">
      <c r="A108" t="s">
        <v>1325</v>
      </c>
      <c r="B108" t="s">
        <v>1323</v>
      </c>
      <c r="C108" t="s">
        <v>1312</v>
      </c>
      <c r="D108" s="1">
        <v>18.23</v>
      </c>
      <c r="E108" s="2">
        <v>9.05</v>
      </c>
      <c r="F108" s="2">
        <v>164.98</v>
      </c>
      <c r="G108" t="s">
        <v>1313</v>
      </c>
      <c r="H108" t="s">
        <v>1313</v>
      </c>
    </row>
    <row r="109" spans="1:8">
      <c r="A109" t="s">
        <v>1326</v>
      </c>
      <c r="B109" t="s">
        <v>1327</v>
      </c>
      <c r="C109" t="s">
        <v>1328</v>
      </c>
      <c r="D109" s="1">
        <v>15.01</v>
      </c>
      <c r="E109" s="2">
        <v>4.15</v>
      </c>
      <c r="F109" s="2">
        <v>62.29</v>
      </c>
      <c r="G109" t="s">
        <v>1242</v>
      </c>
      <c r="H109" t="s">
        <v>1242</v>
      </c>
    </row>
    <row r="110" spans="1:8">
      <c r="A110" t="s">
        <v>1329</v>
      </c>
      <c r="B110" t="s">
        <v>1330</v>
      </c>
      <c r="C110" t="s">
        <v>1297</v>
      </c>
      <c r="D110" s="1">
        <v>15.66</v>
      </c>
      <c r="E110" s="2">
        <v>3.7</v>
      </c>
      <c r="F110" s="2">
        <v>57.94</v>
      </c>
      <c r="G110" t="s">
        <v>1331</v>
      </c>
      <c r="H110" t="s">
        <v>1331</v>
      </c>
    </row>
    <row r="111" spans="1:8">
      <c r="A111" t="s">
        <v>1332</v>
      </c>
      <c r="B111" t="s">
        <v>1330</v>
      </c>
      <c r="C111" t="s">
        <v>339</v>
      </c>
      <c r="D111" s="1">
        <v>15.58</v>
      </c>
      <c r="E111" s="2">
        <v>4.2</v>
      </c>
      <c r="F111" s="2">
        <v>65.44</v>
      </c>
      <c r="G111" t="s">
        <v>1118</v>
      </c>
      <c r="H111" t="s">
        <v>1118</v>
      </c>
    </row>
    <row r="112" spans="1:8">
      <c r="A112" t="s">
        <v>1333</v>
      </c>
      <c r="B112" t="s">
        <v>377</v>
      </c>
      <c r="C112" t="s">
        <v>1334</v>
      </c>
      <c r="D112" s="1">
        <v>20.98</v>
      </c>
      <c r="E112" s="2">
        <v>7</v>
      </c>
      <c r="F112" s="2">
        <v>146.86</v>
      </c>
      <c r="G112" t="s">
        <v>1335</v>
      </c>
      <c r="H112" t="s">
        <v>1335</v>
      </c>
    </row>
    <row r="113" spans="1:8">
      <c r="A113" t="s">
        <v>1336</v>
      </c>
      <c r="B113" t="s">
        <v>380</v>
      </c>
      <c r="C113" t="s">
        <v>1337</v>
      </c>
      <c r="D113" s="1">
        <v>20.77</v>
      </c>
      <c r="E113" s="2">
        <v>3.35</v>
      </c>
      <c r="F113" s="2">
        <v>69.58</v>
      </c>
      <c r="G113" t="s">
        <v>1236</v>
      </c>
      <c r="H113" t="s">
        <v>1236</v>
      </c>
    </row>
    <row r="114" spans="1:8">
      <c r="A114" t="s">
        <v>1338</v>
      </c>
      <c r="B114" t="s">
        <v>380</v>
      </c>
      <c r="C114" t="s">
        <v>1339</v>
      </c>
      <c r="D114" s="1">
        <v>20.83</v>
      </c>
      <c r="E114" s="2">
        <v>6.2</v>
      </c>
      <c r="F114" s="2">
        <v>129.15</v>
      </c>
      <c r="G114" t="s">
        <v>1239</v>
      </c>
      <c r="H114" t="s">
        <v>1239</v>
      </c>
    </row>
    <row r="115" spans="1:8">
      <c r="A115" t="s">
        <v>1340</v>
      </c>
      <c r="B115" t="s">
        <v>1341</v>
      </c>
      <c r="C115" t="s">
        <v>1342</v>
      </c>
      <c r="D115" s="1">
        <v>15.09</v>
      </c>
      <c r="E115" s="2">
        <v>3.85</v>
      </c>
      <c r="F115" s="2">
        <v>58.1</v>
      </c>
      <c r="G115" t="s">
        <v>1213</v>
      </c>
      <c r="H115" t="s">
        <v>1213</v>
      </c>
    </row>
    <row r="116" spans="1:8">
      <c r="A116" t="s">
        <v>1343</v>
      </c>
      <c r="B116" t="s">
        <v>1344</v>
      </c>
      <c r="C116" t="s">
        <v>1345</v>
      </c>
      <c r="D116" s="1">
        <v>15.7</v>
      </c>
      <c r="E116" s="2">
        <v>4.2</v>
      </c>
      <c r="F116" s="2">
        <v>65.94</v>
      </c>
      <c r="G116" t="s">
        <v>1256</v>
      </c>
      <c r="H116" t="s">
        <v>1256</v>
      </c>
    </row>
    <row r="117" spans="1:8">
      <c r="A117" t="s">
        <v>1346</v>
      </c>
      <c r="B117" t="s">
        <v>1344</v>
      </c>
      <c r="C117" t="s">
        <v>1347</v>
      </c>
      <c r="D117" s="1">
        <v>14.4</v>
      </c>
      <c r="E117" s="2">
        <v>3.1</v>
      </c>
      <c r="F117" s="2">
        <v>44.64</v>
      </c>
      <c r="G117" t="s">
        <v>1114</v>
      </c>
      <c r="H117" t="s">
        <v>1114</v>
      </c>
    </row>
    <row r="118" spans="1:8">
      <c r="A118" t="s">
        <v>1348</v>
      </c>
      <c r="B118" t="s">
        <v>1344</v>
      </c>
      <c r="C118" t="s">
        <v>1349</v>
      </c>
      <c r="D118" s="1">
        <v>14.31</v>
      </c>
      <c r="E118" s="2">
        <v>3.85</v>
      </c>
      <c r="F118" s="2">
        <v>55.09</v>
      </c>
      <c r="G118" t="s">
        <v>1114</v>
      </c>
      <c r="H118" t="s">
        <v>1114</v>
      </c>
    </row>
    <row r="119" spans="1:8">
      <c r="A119" t="s">
        <v>1350</v>
      </c>
      <c r="B119" t="s">
        <v>1344</v>
      </c>
      <c r="C119" t="s">
        <v>1351</v>
      </c>
      <c r="D119" s="1">
        <v>15.71</v>
      </c>
      <c r="E119" s="2">
        <v>4.3</v>
      </c>
      <c r="F119" s="2">
        <v>67.55</v>
      </c>
      <c r="G119" t="s">
        <v>1352</v>
      </c>
      <c r="H119" t="s">
        <v>1352</v>
      </c>
    </row>
    <row r="120" spans="1:8">
      <c r="A120" t="s">
        <v>1353</v>
      </c>
      <c r="B120" t="s">
        <v>1354</v>
      </c>
      <c r="C120" t="s">
        <v>1355</v>
      </c>
      <c r="D120" s="1">
        <v>14.81</v>
      </c>
      <c r="E120" s="2">
        <v>3.95</v>
      </c>
      <c r="F120" s="2">
        <v>58.5</v>
      </c>
      <c r="G120" t="s">
        <v>1356</v>
      </c>
      <c r="H120" t="s">
        <v>1356</v>
      </c>
    </row>
    <row r="121" spans="1:8">
      <c r="A121" t="s">
        <v>1357</v>
      </c>
      <c r="B121" t="s">
        <v>1354</v>
      </c>
      <c r="C121" t="s">
        <v>1358</v>
      </c>
      <c r="D121" s="1">
        <v>14.77</v>
      </c>
      <c r="E121" s="2">
        <v>3.95</v>
      </c>
      <c r="F121" s="2">
        <v>58.34</v>
      </c>
      <c r="G121" t="s">
        <v>1356</v>
      </c>
      <c r="H121" t="s">
        <v>1356</v>
      </c>
    </row>
    <row r="122" spans="1:8">
      <c r="A122" t="s">
        <v>1359</v>
      </c>
      <c r="B122" t="s">
        <v>1354</v>
      </c>
      <c r="C122" t="s">
        <v>1360</v>
      </c>
      <c r="D122" s="1">
        <v>14.86</v>
      </c>
      <c r="E122" s="2">
        <v>4.7</v>
      </c>
      <c r="F122" s="2">
        <v>69.84</v>
      </c>
      <c r="G122" t="s">
        <v>1361</v>
      </c>
      <c r="H122" t="s">
        <v>1361</v>
      </c>
    </row>
    <row r="123" spans="1:8">
      <c r="A123" t="s">
        <v>1362</v>
      </c>
      <c r="B123" t="s">
        <v>1354</v>
      </c>
      <c r="C123" t="s">
        <v>1363</v>
      </c>
      <c r="D123" s="1">
        <v>13.59</v>
      </c>
      <c r="E123" s="2">
        <v>4.3</v>
      </c>
      <c r="F123" s="2">
        <v>58.44</v>
      </c>
      <c r="G123" t="s">
        <v>1364</v>
      </c>
      <c r="H123" t="s">
        <v>1364</v>
      </c>
    </row>
    <row r="124" spans="1:8">
      <c r="A124" t="s">
        <v>1365</v>
      </c>
      <c r="B124" t="s">
        <v>1354</v>
      </c>
      <c r="C124" t="s">
        <v>1366</v>
      </c>
      <c r="D124" s="1">
        <v>11.21</v>
      </c>
      <c r="E124" s="2">
        <v>5.2</v>
      </c>
      <c r="F124" s="2">
        <v>58.29</v>
      </c>
      <c r="G124" t="s">
        <v>1367</v>
      </c>
      <c r="H124" t="s">
        <v>1367</v>
      </c>
    </row>
    <row r="125" spans="1:8">
      <c r="A125" t="s">
        <v>1368</v>
      </c>
      <c r="B125" t="s">
        <v>1354</v>
      </c>
      <c r="C125" t="s">
        <v>1369</v>
      </c>
      <c r="D125" s="1">
        <v>1</v>
      </c>
      <c r="E125" s="2">
        <v>50</v>
      </c>
      <c r="F125" s="2">
        <v>50</v>
      </c>
      <c r="G125" t="s">
        <v>1367</v>
      </c>
      <c r="H125" t="s">
        <v>1367</v>
      </c>
    </row>
    <row r="126" spans="1:8">
      <c r="A126" t="s">
        <v>1370</v>
      </c>
      <c r="B126" t="s">
        <v>1354</v>
      </c>
      <c r="C126" t="s">
        <v>1371</v>
      </c>
      <c r="D126" s="1">
        <v>14.74</v>
      </c>
      <c r="E126" s="2">
        <v>3.95</v>
      </c>
      <c r="F126" s="2">
        <v>58.22</v>
      </c>
      <c r="G126" t="s">
        <v>1372</v>
      </c>
      <c r="H126" t="s">
        <v>1372</v>
      </c>
    </row>
    <row r="127" spans="1:8">
      <c r="A127" t="s">
        <v>1373</v>
      </c>
      <c r="B127" t="s">
        <v>422</v>
      </c>
      <c r="C127" t="s">
        <v>398</v>
      </c>
      <c r="D127" s="1">
        <v>18.83</v>
      </c>
      <c r="E127" s="2">
        <v>6.2</v>
      </c>
      <c r="F127" s="2">
        <v>116.75</v>
      </c>
      <c r="G127" t="s">
        <v>1267</v>
      </c>
      <c r="H127" t="s">
        <v>1267</v>
      </c>
    </row>
    <row r="128" spans="1:8">
      <c r="A128" t="s">
        <v>1374</v>
      </c>
      <c r="B128" t="s">
        <v>422</v>
      </c>
      <c r="C128" t="s">
        <v>1375</v>
      </c>
      <c r="D128" s="1">
        <v>20.21</v>
      </c>
      <c r="E128" s="2">
        <v>8.5</v>
      </c>
      <c r="F128" s="2">
        <v>171.79</v>
      </c>
      <c r="G128" t="s">
        <v>1376</v>
      </c>
      <c r="H128" t="s">
        <v>1376</v>
      </c>
    </row>
    <row r="129" spans="1:8">
      <c r="A129" t="s">
        <v>1377</v>
      </c>
      <c r="B129" t="s">
        <v>422</v>
      </c>
      <c r="C129" t="s">
        <v>1378</v>
      </c>
      <c r="D129" s="1">
        <v>20</v>
      </c>
      <c r="E129" s="2">
        <v>6.15</v>
      </c>
      <c r="F129" s="2">
        <v>123</v>
      </c>
      <c r="G129" t="s">
        <v>1376</v>
      </c>
      <c r="H129" t="s">
        <v>1376</v>
      </c>
    </row>
    <row r="130" spans="1:8">
      <c r="A130" t="s">
        <v>1379</v>
      </c>
      <c r="B130" t="s">
        <v>422</v>
      </c>
      <c r="C130" t="s">
        <v>1380</v>
      </c>
      <c r="D130" s="1">
        <v>18.57</v>
      </c>
      <c r="E130" s="2">
        <v>4.7</v>
      </c>
      <c r="F130" s="2">
        <v>87.28</v>
      </c>
      <c r="G130" t="s">
        <v>1381</v>
      </c>
      <c r="H130" t="s">
        <v>1381</v>
      </c>
    </row>
    <row r="131" spans="1:8">
      <c r="A131" t="s">
        <v>1382</v>
      </c>
      <c r="B131" t="s">
        <v>422</v>
      </c>
      <c r="C131" t="s">
        <v>1383</v>
      </c>
      <c r="D131" s="1">
        <v>19.07</v>
      </c>
      <c r="E131" s="2">
        <v>4.3</v>
      </c>
      <c r="F131" s="2">
        <v>82</v>
      </c>
      <c r="G131" t="s">
        <v>1384</v>
      </c>
      <c r="H131" t="s">
        <v>1384</v>
      </c>
    </row>
    <row r="132" spans="1:8">
      <c r="A132" t="s">
        <v>1385</v>
      </c>
      <c r="B132" t="s">
        <v>1386</v>
      </c>
      <c r="C132" t="s">
        <v>1387</v>
      </c>
      <c r="D132" s="1">
        <v>15.37</v>
      </c>
      <c r="E132" s="2">
        <v>4.7</v>
      </c>
      <c r="F132" s="2">
        <v>72.24</v>
      </c>
      <c r="G132" t="s">
        <v>1305</v>
      </c>
      <c r="H132" t="s">
        <v>1305</v>
      </c>
    </row>
    <row r="133" spans="1:8">
      <c r="A133" t="s">
        <v>1388</v>
      </c>
      <c r="B133" t="s">
        <v>1386</v>
      </c>
      <c r="C133" t="s">
        <v>1389</v>
      </c>
      <c r="D133" s="1">
        <v>17.21</v>
      </c>
      <c r="E133" s="2">
        <v>3.45</v>
      </c>
      <c r="F133" s="2">
        <v>59.37</v>
      </c>
      <c r="G133" t="s">
        <v>1287</v>
      </c>
      <c r="H133" t="s">
        <v>1287</v>
      </c>
    </row>
    <row r="134" spans="1:8">
      <c r="A134" t="s">
        <v>1390</v>
      </c>
      <c r="B134" t="s">
        <v>1386</v>
      </c>
      <c r="C134" t="s">
        <v>1391</v>
      </c>
      <c r="D134" s="1">
        <v>17.17</v>
      </c>
      <c r="E134" s="2">
        <v>3.85</v>
      </c>
      <c r="F134" s="2">
        <v>66.1</v>
      </c>
      <c r="G134" t="s">
        <v>1225</v>
      </c>
      <c r="H134" t="s">
        <v>1226</v>
      </c>
    </row>
    <row r="135" spans="1:8">
      <c r="A135" t="s">
        <v>1392</v>
      </c>
      <c r="B135" t="s">
        <v>1386</v>
      </c>
      <c r="C135" t="s">
        <v>1286</v>
      </c>
      <c r="D135" s="1">
        <v>17.18</v>
      </c>
      <c r="E135" s="2">
        <v>3.75</v>
      </c>
      <c r="F135" s="2">
        <v>64.43</v>
      </c>
      <c r="G135" t="s">
        <v>1393</v>
      </c>
      <c r="H135" t="s">
        <v>1393</v>
      </c>
    </row>
    <row r="136" spans="1:8">
      <c r="A136" t="s">
        <v>1394</v>
      </c>
      <c r="B136" t="s">
        <v>1386</v>
      </c>
      <c r="C136" t="s">
        <v>1395</v>
      </c>
      <c r="D136" s="1">
        <v>17.08</v>
      </c>
      <c r="E136" s="2">
        <v>4.3</v>
      </c>
      <c r="F136" s="2">
        <v>73.44</v>
      </c>
      <c r="G136" t="s">
        <v>1352</v>
      </c>
      <c r="H136" t="s">
        <v>1352</v>
      </c>
    </row>
    <row r="137" spans="1:8">
      <c r="A137" t="s">
        <v>1396</v>
      </c>
      <c r="B137" t="s">
        <v>1397</v>
      </c>
      <c r="C137" t="s">
        <v>1398</v>
      </c>
      <c r="D137" s="1">
        <v>18.26</v>
      </c>
      <c r="E137" s="2">
        <v>3.45</v>
      </c>
      <c r="F137" s="2">
        <v>63</v>
      </c>
      <c r="G137" t="s">
        <v>1361</v>
      </c>
      <c r="H137" t="s">
        <v>1361</v>
      </c>
    </row>
    <row r="138" spans="1:8">
      <c r="A138" t="s">
        <v>1399</v>
      </c>
      <c r="B138" t="s">
        <v>1397</v>
      </c>
      <c r="C138" t="s">
        <v>1400</v>
      </c>
      <c r="D138" s="1">
        <v>16.81</v>
      </c>
      <c r="E138" s="2">
        <v>5.45</v>
      </c>
      <c r="F138" s="2">
        <v>91.61</v>
      </c>
      <c r="G138" t="s">
        <v>1361</v>
      </c>
      <c r="H138" t="s">
        <v>1361</v>
      </c>
    </row>
    <row r="139" spans="1:8">
      <c r="A139" t="s">
        <v>1401</v>
      </c>
      <c r="B139" t="s">
        <v>1397</v>
      </c>
      <c r="C139" t="s">
        <v>1402</v>
      </c>
      <c r="D139" s="1">
        <v>1</v>
      </c>
      <c r="E139" s="2">
        <v>455</v>
      </c>
      <c r="F139" s="2">
        <v>455</v>
      </c>
      <c r="G139" t="s">
        <v>1196</v>
      </c>
      <c r="H139" t="s">
        <v>1196</v>
      </c>
    </row>
    <row r="140" spans="1:8">
      <c r="A140" t="s">
        <v>1403</v>
      </c>
      <c r="B140" t="s">
        <v>1397</v>
      </c>
      <c r="C140" t="s">
        <v>1402</v>
      </c>
      <c r="D140" s="1">
        <v>1</v>
      </c>
      <c r="E140" s="2">
        <v>325</v>
      </c>
      <c r="F140" s="2">
        <v>325</v>
      </c>
      <c r="G140" t="s">
        <v>1196</v>
      </c>
      <c r="H140" t="s">
        <v>1196</v>
      </c>
    </row>
    <row r="141" spans="1:8">
      <c r="A141" t="s">
        <v>1404</v>
      </c>
      <c r="B141" t="s">
        <v>1397</v>
      </c>
      <c r="C141" t="s">
        <v>1349</v>
      </c>
      <c r="D141" s="1">
        <v>15.93</v>
      </c>
      <c r="E141" s="2">
        <v>3.85</v>
      </c>
      <c r="F141" s="2">
        <v>61.33</v>
      </c>
      <c r="G141" t="s">
        <v>1364</v>
      </c>
      <c r="H141" t="s">
        <v>1364</v>
      </c>
    </row>
    <row r="142" spans="1:8">
      <c r="A142" t="s">
        <v>1405</v>
      </c>
      <c r="B142" t="s">
        <v>1397</v>
      </c>
      <c r="C142" t="s">
        <v>1349</v>
      </c>
      <c r="D142" s="1">
        <v>15.82</v>
      </c>
      <c r="E142" s="2">
        <v>3.85</v>
      </c>
      <c r="F142" s="2">
        <v>60.91</v>
      </c>
      <c r="G142" t="s">
        <v>1364</v>
      </c>
      <c r="H142" t="s">
        <v>1364</v>
      </c>
    </row>
    <row r="143" spans="1:8">
      <c r="A143" t="s">
        <v>1406</v>
      </c>
      <c r="B143" t="s">
        <v>1397</v>
      </c>
      <c r="C143" t="s">
        <v>1349</v>
      </c>
      <c r="D143" s="1">
        <v>15.73</v>
      </c>
      <c r="E143" s="2">
        <v>3.85</v>
      </c>
      <c r="F143" s="2">
        <v>60.56</v>
      </c>
      <c r="G143" t="s">
        <v>1364</v>
      </c>
      <c r="H143" t="s">
        <v>1364</v>
      </c>
    </row>
    <row r="144" spans="1:8">
      <c r="A144" t="s">
        <v>1407</v>
      </c>
      <c r="B144" t="s">
        <v>1397</v>
      </c>
      <c r="C144" t="s">
        <v>1349</v>
      </c>
      <c r="D144" s="1">
        <v>15.92</v>
      </c>
      <c r="E144" s="2">
        <v>3.85</v>
      </c>
      <c r="F144" s="2">
        <v>61.29</v>
      </c>
      <c r="G144" t="s">
        <v>1364</v>
      </c>
      <c r="H144" t="s">
        <v>1364</v>
      </c>
    </row>
    <row r="145" spans="1:8">
      <c r="A145" t="s">
        <v>1408</v>
      </c>
      <c r="B145" t="s">
        <v>1397</v>
      </c>
      <c r="C145" t="s">
        <v>1349</v>
      </c>
      <c r="D145" s="1">
        <v>15.8</v>
      </c>
      <c r="E145" s="2">
        <v>3.85</v>
      </c>
      <c r="F145" s="2">
        <v>60.83</v>
      </c>
      <c r="G145" t="s">
        <v>1364</v>
      </c>
      <c r="H145" t="s">
        <v>1364</v>
      </c>
    </row>
    <row r="146" spans="1:8">
      <c r="A146" t="s">
        <v>1409</v>
      </c>
      <c r="B146" t="s">
        <v>1397</v>
      </c>
      <c r="C146" t="s">
        <v>1349</v>
      </c>
      <c r="D146" s="1">
        <v>15.92</v>
      </c>
      <c r="E146" s="2">
        <v>3.85</v>
      </c>
      <c r="F146" s="2">
        <v>61.29</v>
      </c>
      <c r="G146" t="s">
        <v>1364</v>
      </c>
      <c r="H146" t="s">
        <v>1364</v>
      </c>
    </row>
    <row r="147" spans="1:8">
      <c r="A147" t="s">
        <v>1410</v>
      </c>
      <c r="B147" t="s">
        <v>1397</v>
      </c>
      <c r="C147" t="s">
        <v>1349</v>
      </c>
      <c r="D147" s="1">
        <v>1</v>
      </c>
      <c r="E147" s="2">
        <v>0</v>
      </c>
      <c r="F147" s="2">
        <v>0</v>
      </c>
      <c r="G147" t="s">
        <v>1364</v>
      </c>
      <c r="H147" t="s">
        <v>1364</v>
      </c>
    </row>
    <row r="148" spans="1:8">
      <c r="A148" t="s">
        <v>1411</v>
      </c>
      <c r="B148" t="s">
        <v>1397</v>
      </c>
      <c r="C148" t="s">
        <v>1349</v>
      </c>
      <c r="D148" s="1">
        <v>15.78</v>
      </c>
      <c r="E148" s="2">
        <v>3.85</v>
      </c>
      <c r="F148" s="2">
        <v>60.75</v>
      </c>
      <c r="G148" t="s">
        <v>1364</v>
      </c>
      <c r="H148" t="s">
        <v>1364</v>
      </c>
    </row>
    <row r="149" spans="1:8">
      <c r="A149" t="s">
        <v>1412</v>
      </c>
      <c r="B149" t="s">
        <v>1397</v>
      </c>
      <c r="C149" t="s">
        <v>1349</v>
      </c>
      <c r="D149" s="1">
        <v>15.88</v>
      </c>
      <c r="E149" s="2">
        <v>3.85</v>
      </c>
      <c r="F149" s="2">
        <v>61.14</v>
      </c>
      <c r="G149" t="s">
        <v>1364</v>
      </c>
      <c r="H149" t="s">
        <v>1364</v>
      </c>
    </row>
    <row r="150" spans="1:8">
      <c r="A150" t="s">
        <v>1413</v>
      </c>
      <c r="B150" t="s">
        <v>1397</v>
      </c>
      <c r="C150" t="s">
        <v>1349</v>
      </c>
      <c r="D150" s="1">
        <v>15.91</v>
      </c>
      <c r="E150" s="2">
        <v>3.85</v>
      </c>
      <c r="F150" s="2">
        <v>61.25</v>
      </c>
      <c r="G150" t="s">
        <v>1364</v>
      </c>
      <c r="H150" t="s">
        <v>1364</v>
      </c>
    </row>
    <row r="151" spans="1:8">
      <c r="A151" t="s">
        <v>1414</v>
      </c>
      <c r="B151" t="s">
        <v>1397</v>
      </c>
      <c r="C151" t="s">
        <v>1349</v>
      </c>
      <c r="D151" s="1">
        <v>15.82</v>
      </c>
      <c r="E151" s="2">
        <v>3.85</v>
      </c>
      <c r="F151" s="2">
        <v>60.91</v>
      </c>
      <c r="G151" t="s">
        <v>1364</v>
      </c>
      <c r="H151" t="s">
        <v>1364</v>
      </c>
    </row>
    <row r="152" spans="1:8">
      <c r="A152" t="s">
        <v>1415</v>
      </c>
      <c r="B152" t="s">
        <v>1397</v>
      </c>
      <c r="C152" t="s">
        <v>1349</v>
      </c>
      <c r="D152" s="1">
        <v>15.91</v>
      </c>
      <c r="E152" s="2">
        <v>3.85</v>
      </c>
      <c r="F152" s="2">
        <v>61.25</v>
      </c>
      <c r="G152" t="s">
        <v>1364</v>
      </c>
      <c r="H152" t="s">
        <v>1364</v>
      </c>
    </row>
    <row r="153" spans="1:8">
      <c r="A153" t="s">
        <v>1416</v>
      </c>
      <c r="B153" t="s">
        <v>1397</v>
      </c>
      <c r="C153" t="s">
        <v>1349</v>
      </c>
      <c r="D153" s="1">
        <v>15.88</v>
      </c>
      <c r="E153" s="2">
        <v>3.85</v>
      </c>
      <c r="F153" s="2">
        <v>61.14</v>
      </c>
      <c r="G153" t="s">
        <v>1364</v>
      </c>
      <c r="H153" t="s">
        <v>1364</v>
      </c>
    </row>
    <row r="154" spans="1:8">
      <c r="A154" t="s">
        <v>1417</v>
      </c>
      <c r="B154" t="s">
        <v>1397</v>
      </c>
      <c r="C154" t="s">
        <v>1349</v>
      </c>
      <c r="D154" s="1">
        <v>15.87</v>
      </c>
      <c r="E154" s="2">
        <v>3.85</v>
      </c>
      <c r="F154" s="2">
        <v>61.1</v>
      </c>
      <c r="G154" t="s">
        <v>1364</v>
      </c>
      <c r="H154" t="s">
        <v>1364</v>
      </c>
    </row>
    <row r="155" spans="1:8">
      <c r="A155" t="s">
        <v>1418</v>
      </c>
      <c r="B155" t="s">
        <v>1397</v>
      </c>
      <c r="C155" t="s">
        <v>1349</v>
      </c>
      <c r="D155" s="1">
        <v>15.92</v>
      </c>
      <c r="E155" s="2">
        <v>3.85</v>
      </c>
      <c r="F155" s="2">
        <v>61.29</v>
      </c>
      <c r="G155" t="s">
        <v>1364</v>
      </c>
      <c r="H155" t="s">
        <v>1364</v>
      </c>
    </row>
    <row r="156" spans="1:8">
      <c r="A156" t="s">
        <v>1419</v>
      </c>
      <c r="B156" t="s">
        <v>1397</v>
      </c>
      <c r="C156" t="s">
        <v>1420</v>
      </c>
      <c r="D156" s="1">
        <v>16.83</v>
      </c>
      <c r="E156" s="2">
        <v>5.45</v>
      </c>
      <c r="F156" s="2">
        <v>91.72</v>
      </c>
      <c r="G156" t="s">
        <v>1196</v>
      </c>
      <c r="H156" t="s">
        <v>1196</v>
      </c>
    </row>
    <row r="157" spans="1:8">
      <c r="A157" t="s">
        <v>1421</v>
      </c>
      <c r="B157" t="s">
        <v>1397</v>
      </c>
      <c r="C157" t="s">
        <v>1422</v>
      </c>
      <c r="D157" s="1">
        <v>16.35</v>
      </c>
      <c r="E157" s="2">
        <v>5.95</v>
      </c>
      <c r="F157" s="2">
        <v>97.28</v>
      </c>
      <c r="G157" t="s">
        <v>1423</v>
      </c>
      <c r="H157" t="s">
        <v>1423</v>
      </c>
    </row>
    <row r="158" spans="1:8">
      <c r="A158" t="s">
        <v>1424</v>
      </c>
      <c r="B158" t="s">
        <v>1397</v>
      </c>
      <c r="C158" t="s">
        <v>1425</v>
      </c>
      <c r="D158" s="1">
        <v>16.15</v>
      </c>
      <c r="E158" s="2">
        <v>3.45</v>
      </c>
      <c r="F158" s="2">
        <v>55.72</v>
      </c>
      <c r="G158" t="s">
        <v>1086</v>
      </c>
      <c r="H158" t="s">
        <v>1086</v>
      </c>
    </row>
    <row r="159" spans="1:8">
      <c r="A159" t="s">
        <v>1426</v>
      </c>
      <c r="B159" t="s">
        <v>1427</v>
      </c>
      <c r="C159" t="s">
        <v>1402</v>
      </c>
      <c r="D159" s="1">
        <v>1</v>
      </c>
      <c r="E159" s="2">
        <v>650</v>
      </c>
      <c r="F159" s="2">
        <v>650</v>
      </c>
      <c r="G159" t="s">
        <v>1196</v>
      </c>
      <c r="H159" t="s">
        <v>1196</v>
      </c>
    </row>
    <row r="160" spans="1:8">
      <c r="A160" t="s">
        <v>1428</v>
      </c>
      <c r="B160" t="s">
        <v>1429</v>
      </c>
      <c r="C160" t="s">
        <v>1402</v>
      </c>
      <c r="D160" s="1">
        <v>1</v>
      </c>
      <c r="E160" s="2">
        <v>650</v>
      </c>
      <c r="F160" s="2">
        <v>650</v>
      </c>
      <c r="G160" t="s">
        <v>1196</v>
      </c>
      <c r="H160" t="s">
        <v>1196</v>
      </c>
    </row>
    <row r="161" spans="1:8">
      <c r="A161" t="s">
        <v>1430</v>
      </c>
      <c r="B161" t="s">
        <v>460</v>
      </c>
      <c r="C161" t="s">
        <v>1431</v>
      </c>
      <c r="D161" s="1">
        <v>24.86</v>
      </c>
      <c r="E161" s="2">
        <v>4.3</v>
      </c>
      <c r="F161" s="2">
        <v>106.9</v>
      </c>
      <c r="G161" t="s">
        <v>1352</v>
      </c>
      <c r="H161" t="s">
        <v>1352</v>
      </c>
    </row>
    <row r="162" spans="1:8">
      <c r="A162" t="s">
        <v>1432</v>
      </c>
      <c r="B162" t="s">
        <v>1433</v>
      </c>
      <c r="C162" t="s">
        <v>1402</v>
      </c>
      <c r="D162" s="1">
        <v>1</v>
      </c>
      <c r="E162" s="2">
        <v>650</v>
      </c>
      <c r="F162" s="2">
        <v>650</v>
      </c>
      <c r="G162" t="s">
        <v>1196</v>
      </c>
      <c r="H162" t="s">
        <v>1196</v>
      </c>
    </row>
    <row r="163" spans="1:8">
      <c r="A163" t="s">
        <v>1434</v>
      </c>
      <c r="B163" t="s">
        <v>1435</v>
      </c>
      <c r="C163" t="s">
        <v>1436</v>
      </c>
      <c r="D163" s="1">
        <v>20.68</v>
      </c>
      <c r="E163" s="2">
        <v>3.95</v>
      </c>
      <c r="F163" s="2">
        <v>81.69</v>
      </c>
      <c r="G163" t="s">
        <v>1437</v>
      </c>
      <c r="H163" t="s">
        <v>1437</v>
      </c>
    </row>
    <row r="164" spans="1:8">
      <c r="A164" t="s">
        <v>1438</v>
      </c>
      <c r="B164" t="s">
        <v>1439</v>
      </c>
      <c r="C164" t="s">
        <v>1440</v>
      </c>
      <c r="D164" s="1">
        <v>20.83</v>
      </c>
      <c r="E164" s="2">
        <v>3.7</v>
      </c>
      <c r="F164" s="2">
        <v>77.07</v>
      </c>
      <c r="G164" t="s">
        <v>1441</v>
      </c>
      <c r="H164" t="s">
        <v>1441</v>
      </c>
    </row>
    <row r="165" spans="1:8">
      <c r="A165" t="s">
        <v>1442</v>
      </c>
      <c r="B165" t="s">
        <v>1439</v>
      </c>
      <c r="C165" t="s">
        <v>1443</v>
      </c>
      <c r="D165" s="1">
        <v>20.92</v>
      </c>
      <c r="E165" s="2">
        <v>3.5</v>
      </c>
      <c r="F165" s="2">
        <v>73.22</v>
      </c>
      <c r="G165" t="s">
        <v>1444</v>
      </c>
      <c r="H165" t="s">
        <v>1444</v>
      </c>
    </row>
    <row r="166" spans="1:8">
      <c r="A166" t="s">
        <v>1445</v>
      </c>
      <c r="B166" t="s">
        <v>1439</v>
      </c>
      <c r="C166" t="s">
        <v>1443</v>
      </c>
      <c r="D166" s="1">
        <v>20.97</v>
      </c>
      <c r="E166" s="2">
        <v>3.5</v>
      </c>
      <c r="F166" s="2">
        <v>73.4</v>
      </c>
      <c r="G166" t="s">
        <v>1444</v>
      </c>
      <c r="H166" t="s">
        <v>1444</v>
      </c>
    </row>
    <row r="167" spans="1:8">
      <c r="A167" t="s">
        <v>1446</v>
      </c>
      <c r="B167" t="s">
        <v>1439</v>
      </c>
      <c r="C167" t="s">
        <v>1347</v>
      </c>
      <c r="D167" s="1">
        <v>20.82</v>
      </c>
      <c r="E167" s="2">
        <v>3.1</v>
      </c>
      <c r="F167" s="2">
        <v>64.54</v>
      </c>
      <c r="G167" t="s">
        <v>1364</v>
      </c>
      <c r="H167" t="s">
        <v>1364</v>
      </c>
    </row>
    <row r="168" spans="1:8">
      <c r="A168" t="s">
        <v>1447</v>
      </c>
      <c r="B168" t="s">
        <v>1439</v>
      </c>
      <c r="C168" t="s">
        <v>1307</v>
      </c>
      <c r="D168" s="1">
        <v>20.73</v>
      </c>
      <c r="E168" s="2">
        <v>4.15</v>
      </c>
      <c r="F168" s="2">
        <v>86.03</v>
      </c>
      <c r="G168" t="s">
        <v>1308</v>
      </c>
      <c r="H168" t="s">
        <v>1308</v>
      </c>
    </row>
    <row r="169" spans="1:8">
      <c r="A169" t="s">
        <v>1448</v>
      </c>
      <c r="B169" t="s">
        <v>1439</v>
      </c>
      <c r="C169" t="s">
        <v>1449</v>
      </c>
      <c r="D169" s="1">
        <v>21.43</v>
      </c>
      <c r="E169" s="2">
        <v>4.3</v>
      </c>
      <c r="F169" s="2">
        <v>92.15</v>
      </c>
      <c r="G169" t="s">
        <v>1450</v>
      </c>
      <c r="H169" t="s">
        <v>1450</v>
      </c>
    </row>
    <row r="170" spans="1:8">
      <c r="A170" t="s">
        <v>1451</v>
      </c>
      <c r="B170" t="s">
        <v>1452</v>
      </c>
      <c r="C170" t="s">
        <v>1453</v>
      </c>
      <c r="D170" s="1">
        <v>18.42</v>
      </c>
      <c r="E170" s="2">
        <v>4.15</v>
      </c>
      <c r="F170" s="2">
        <v>76.44</v>
      </c>
      <c r="G170" t="s">
        <v>1196</v>
      </c>
      <c r="H170" t="s">
        <v>1196</v>
      </c>
    </row>
    <row r="171" spans="1:8">
      <c r="A171" t="s">
        <v>1454</v>
      </c>
      <c r="B171" t="s">
        <v>1452</v>
      </c>
      <c r="C171" t="s">
        <v>1349</v>
      </c>
      <c r="D171" s="1">
        <v>18.51</v>
      </c>
      <c r="E171" s="2">
        <v>3.85</v>
      </c>
      <c r="F171" s="2">
        <v>71.26</v>
      </c>
      <c r="G171" t="s">
        <v>1083</v>
      </c>
      <c r="H171" t="s">
        <v>1083</v>
      </c>
    </row>
    <row r="172" spans="1:8">
      <c r="A172" t="s">
        <v>1455</v>
      </c>
      <c r="B172" t="s">
        <v>1456</v>
      </c>
      <c r="C172" t="s">
        <v>1369</v>
      </c>
      <c r="D172" s="1">
        <v>1</v>
      </c>
      <c r="E172" s="2">
        <v>50</v>
      </c>
      <c r="F172" s="2">
        <v>50</v>
      </c>
      <c r="G172" t="s">
        <v>1367</v>
      </c>
      <c r="H172" t="s">
        <v>1367</v>
      </c>
    </row>
    <row r="173" spans="1:8">
      <c r="A173" t="s">
        <v>1457</v>
      </c>
      <c r="B173" t="s">
        <v>1458</v>
      </c>
      <c r="C173" t="s">
        <v>1459</v>
      </c>
      <c r="D173" s="1">
        <v>17.63</v>
      </c>
      <c r="E173" s="2">
        <v>7.3</v>
      </c>
      <c r="F173" s="2">
        <v>128.7</v>
      </c>
      <c r="G173" t="s">
        <v>1460</v>
      </c>
      <c r="H173" t="s">
        <v>1460</v>
      </c>
    </row>
    <row r="174" spans="1:8">
      <c r="A174" t="s">
        <v>1461</v>
      </c>
      <c r="B174" t="s">
        <v>1462</v>
      </c>
      <c r="C174" t="s">
        <v>1463</v>
      </c>
      <c r="D174" s="1">
        <v>19.84</v>
      </c>
      <c r="E174" s="2">
        <v>4.3</v>
      </c>
      <c r="F174" s="2">
        <v>85.31</v>
      </c>
      <c r="G174" t="s">
        <v>1423</v>
      </c>
      <c r="H174" t="s">
        <v>1423</v>
      </c>
    </row>
    <row r="175" spans="1:8">
      <c r="A175" t="s">
        <v>1464</v>
      </c>
      <c r="B175" t="s">
        <v>494</v>
      </c>
      <c r="C175" t="s">
        <v>1465</v>
      </c>
      <c r="D175" s="1">
        <v>18.66</v>
      </c>
      <c r="E175" s="2">
        <v>4.4</v>
      </c>
      <c r="F175" s="2">
        <v>82.1</v>
      </c>
      <c r="G175" t="s">
        <v>1466</v>
      </c>
      <c r="H175" t="s">
        <v>1466</v>
      </c>
    </row>
    <row r="176" spans="1:8">
      <c r="A176" t="s">
        <v>1467</v>
      </c>
      <c r="B176" t="s">
        <v>494</v>
      </c>
      <c r="C176" t="s">
        <v>1468</v>
      </c>
      <c r="D176" s="1">
        <v>14.85</v>
      </c>
      <c r="E176" s="2">
        <v>6.2</v>
      </c>
      <c r="F176" s="2">
        <v>92.07</v>
      </c>
      <c r="G176" t="s">
        <v>1469</v>
      </c>
      <c r="H176" t="s">
        <v>1469</v>
      </c>
    </row>
    <row r="177" spans="1:8">
      <c r="A177" t="s">
        <v>1470</v>
      </c>
      <c r="B177" t="s">
        <v>498</v>
      </c>
      <c r="C177" t="s">
        <v>1471</v>
      </c>
      <c r="D177" s="1">
        <v>23.4</v>
      </c>
      <c r="E177" s="2">
        <v>3.45</v>
      </c>
      <c r="F177" s="2">
        <v>80.73</v>
      </c>
      <c r="G177" t="s">
        <v>1472</v>
      </c>
      <c r="H177" t="s">
        <v>1472</v>
      </c>
    </row>
    <row r="178" spans="1:8">
      <c r="A178" t="s">
        <v>1473</v>
      </c>
      <c r="B178" t="s">
        <v>498</v>
      </c>
      <c r="C178" t="s">
        <v>1474</v>
      </c>
      <c r="D178" s="1">
        <v>22.11</v>
      </c>
      <c r="E178" s="2">
        <v>5.2</v>
      </c>
      <c r="F178" s="2">
        <v>114.97</v>
      </c>
      <c r="G178" t="s">
        <v>1475</v>
      </c>
      <c r="H178" t="s">
        <v>1475</v>
      </c>
    </row>
    <row r="179" spans="1:8">
      <c r="A179" t="s">
        <v>1476</v>
      </c>
      <c r="B179" t="s">
        <v>498</v>
      </c>
      <c r="C179" t="s">
        <v>1477</v>
      </c>
      <c r="D179" s="1">
        <v>20.29</v>
      </c>
      <c r="E179" s="2">
        <v>5.7</v>
      </c>
      <c r="F179" s="2">
        <v>115.65</v>
      </c>
      <c r="G179" t="s">
        <v>1478</v>
      </c>
      <c r="H179" t="s">
        <v>1478</v>
      </c>
    </row>
    <row r="180" spans="1:8">
      <c r="A180" t="s">
        <v>1479</v>
      </c>
      <c r="B180" t="s">
        <v>1480</v>
      </c>
      <c r="C180" t="s">
        <v>1481</v>
      </c>
      <c r="D180" s="1">
        <v>22.22</v>
      </c>
      <c r="E180" s="2">
        <v>3.45</v>
      </c>
      <c r="F180" s="2">
        <v>76.66</v>
      </c>
      <c r="G180" t="s">
        <v>1253</v>
      </c>
      <c r="H180" t="s">
        <v>1253</v>
      </c>
    </row>
    <row r="181" spans="1:8">
      <c r="A181" t="s">
        <v>1482</v>
      </c>
      <c r="B181" t="s">
        <v>1483</v>
      </c>
      <c r="C181" t="s">
        <v>1484</v>
      </c>
      <c r="D181" s="1">
        <v>24.18</v>
      </c>
      <c r="E181" s="2">
        <v>4.9</v>
      </c>
      <c r="F181" s="2">
        <v>118.48</v>
      </c>
      <c r="G181" t="s">
        <v>1485</v>
      </c>
      <c r="H181" t="s">
        <v>1485</v>
      </c>
    </row>
    <row r="182" spans="1:8">
      <c r="A182" t="s">
        <v>1486</v>
      </c>
      <c r="B182" t="s">
        <v>1487</v>
      </c>
      <c r="C182" t="s">
        <v>1488</v>
      </c>
      <c r="D182" s="1">
        <v>16.02</v>
      </c>
      <c r="E182" s="2">
        <v>5.7</v>
      </c>
      <c r="F182" s="2">
        <v>91.31</v>
      </c>
      <c r="G182" t="s">
        <v>1220</v>
      </c>
      <c r="H182" t="s">
        <v>1220</v>
      </c>
    </row>
    <row r="183" spans="1:8">
      <c r="A183" t="s">
        <v>1489</v>
      </c>
      <c r="B183" t="s">
        <v>1487</v>
      </c>
      <c r="C183" t="s">
        <v>1282</v>
      </c>
      <c r="D183" s="1">
        <v>15.13</v>
      </c>
      <c r="E183" s="2">
        <v>4.15</v>
      </c>
      <c r="F183" s="2">
        <v>62.79</v>
      </c>
      <c r="G183" t="s">
        <v>1384</v>
      </c>
      <c r="H183" t="s">
        <v>1384</v>
      </c>
    </row>
    <row r="184" spans="1:8">
      <c r="A184" t="s">
        <v>1490</v>
      </c>
      <c r="B184" t="s">
        <v>1487</v>
      </c>
      <c r="C184" t="s">
        <v>1491</v>
      </c>
      <c r="D184" s="1">
        <v>14.98</v>
      </c>
      <c r="E184" s="2">
        <v>3.5</v>
      </c>
      <c r="F184" s="2">
        <v>52.43</v>
      </c>
      <c r="G184" t="s">
        <v>1441</v>
      </c>
      <c r="H184" t="s">
        <v>1441</v>
      </c>
    </row>
    <row r="185" spans="1:8">
      <c r="A185" t="s">
        <v>1492</v>
      </c>
      <c r="B185" t="s">
        <v>1487</v>
      </c>
      <c r="C185" t="s">
        <v>1493</v>
      </c>
      <c r="D185" s="1">
        <v>14.78</v>
      </c>
      <c r="E185" s="2">
        <v>3.7</v>
      </c>
      <c r="F185" s="2">
        <v>54.69</v>
      </c>
      <c r="G185" t="s">
        <v>1248</v>
      </c>
      <c r="H185" t="s">
        <v>1248</v>
      </c>
    </row>
    <row r="186" spans="1:8">
      <c r="A186" t="s">
        <v>1494</v>
      </c>
      <c r="B186" t="s">
        <v>1495</v>
      </c>
      <c r="C186" t="s">
        <v>1496</v>
      </c>
      <c r="D186" s="1">
        <v>16.78</v>
      </c>
      <c r="E186" s="2">
        <v>5.7</v>
      </c>
      <c r="F186" s="2">
        <v>95.65</v>
      </c>
      <c r="G186" t="s">
        <v>1188</v>
      </c>
      <c r="H186" t="s">
        <v>1188</v>
      </c>
    </row>
    <row r="187" spans="1:8">
      <c r="A187" t="s">
        <v>1497</v>
      </c>
      <c r="B187" t="s">
        <v>1498</v>
      </c>
      <c r="C187" t="s">
        <v>1349</v>
      </c>
      <c r="D187" s="1">
        <v>18.84</v>
      </c>
      <c r="E187" s="2">
        <v>3.85</v>
      </c>
      <c r="F187" s="2">
        <v>72.53</v>
      </c>
      <c r="G187" t="s">
        <v>1450</v>
      </c>
      <c r="H187" t="s">
        <v>1450</v>
      </c>
    </row>
    <row r="188" spans="1:8">
      <c r="A188" t="s">
        <v>1499</v>
      </c>
      <c r="B188" t="s">
        <v>524</v>
      </c>
      <c r="C188" t="s">
        <v>1500</v>
      </c>
      <c r="D188" s="1">
        <v>1</v>
      </c>
      <c r="E188" s="2">
        <v>35</v>
      </c>
      <c r="F188" s="2">
        <v>35</v>
      </c>
      <c r="G188" t="s">
        <v>1335</v>
      </c>
      <c r="H188" t="s">
        <v>1335</v>
      </c>
    </row>
    <row r="189" spans="1:8">
      <c r="A189" t="s">
        <v>1501</v>
      </c>
      <c r="B189" t="s">
        <v>1502</v>
      </c>
      <c r="C189" t="s">
        <v>1503</v>
      </c>
      <c r="D189" s="1">
        <v>17.81</v>
      </c>
      <c r="E189" s="2">
        <v>4.9</v>
      </c>
      <c r="F189" s="2">
        <v>87.27</v>
      </c>
      <c r="G189" t="s">
        <v>1504</v>
      </c>
      <c r="H189" t="s">
        <v>1504</v>
      </c>
    </row>
    <row r="190" spans="1:8">
      <c r="A190" t="s">
        <v>1505</v>
      </c>
      <c r="B190" t="s">
        <v>1506</v>
      </c>
      <c r="C190" t="s">
        <v>1358</v>
      </c>
      <c r="D190" s="1">
        <v>14.19</v>
      </c>
      <c r="E190" s="2">
        <v>3.95</v>
      </c>
      <c r="F190" s="2">
        <v>56.05</v>
      </c>
      <c r="G190" t="s">
        <v>1507</v>
      </c>
      <c r="H190" t="s">
        <v>1507</v>
      </c>
    </row>
    <row r="191" spans="1:8">
      <c r="A191" t="s">
        <v>1508</v>
      </c>
      <c r="B191" t="s">
        <v>1509</v>
      </c>
      <c r="C191" t="s">
        <v>1510</v>
      </c>
      <c r="D191" s="1">
        <v>17.96</v>
      </c>
      <c r="E191" s="2">
        <v>5.45</v>
      </c>
      <c r="F191" s="2">
        <v>97.88</v>
      </c>
      <c r="G191" t="s">
        <v>1511</v>
      </c>
      <c r="H191" t="s">
        <v>1511</v>
      </c>
    </row>
    <row r="192" spans="1:8">
      <c r="A192" t="s">
        <v>1512</v>
      </c>
      <c r="B192" t="s">
        <v>1509</v>
      </c>
      <c r="C192" t="s">
        <v>1513</v>
      </c>
      <c r="D192" s="1">
        <v>19.9</v>
      </c>
      <c r="E192" s="2">
        <v>3.95</v>
      </c>
      <c r="F192" s="2">
        <v>78.61</v>
      </c>
      <c r="G192" t="s">
        <v>1514</v>
      </c>
      <c r="H192" t="s">
        <v>1514</v>
      </c>
    </row>
    <row r="193" spans="1:8">
      <c r="A193" t="s">
        <v>1515</v>
      </c>
      <c r="B193" t="s">
        <v>1509</v>
      </c>
      <c r="C193" t="s">
        <v>1516</v>
      </c>
      <c r="D193" s="1">
        <v>20.14</v>
      </c>
      <c r="E193" s="2">
        <v>4.7</v>
      </c>
      <c r="F193" s="2">
        <v>94.66</v>
      </c>
      <c r="G193" t="s">
        <v>1335</v>
      </c>
      <c r="H193" t="s">
        <v>1335</v>
      </c>
    </row>
    <row r="194" spans="1:8">
      <c r="A194" t="s">
        <v>1517</v>
      </c>
      <c r="B194" t="s">
        <v>1509</v>
      </c>
      <c r="C194" t="s">
        <v>1518</v>
      </c>
      <c r="D194" s="1">
        <v>20.21</v>
      </c>
      <c r="E194" s="2">
        <v>3.95</v>
      </c>
      <c r="F194" s="2">
        <v>79.83</v>
      </c>
      <c r="G194" t="s">
        <v>1519</v>
      </c>
      <c r="H194" t="s">
        <v>1519</v>
      </c>
    </row>
    <row r="195" spans="1:8">
      <c r="A195" t="s">
        <v>1520</v>
      </c>
      <c r="B195" t="s">
        <v>1509</v>
      </c>
      <c r="C195" t="s">
        <v>1521</v>
      </c>
      <c r="D195" s="1">
        <v>18.05</v>
      </c>
      <c r="E195" s="2">
        <v>5.15</v>
      </c>
      <c r="F195" s="2">
        <v>92.96</v>
      </c>
      <c r="G195" t="s">
        <v>1522</v>
      </c>
      <c r="H195" t="s">
        <v>1522</v>
      </c>
    </row>
    <row r="196" spans="1:8">
      <c r="A196" t="s">
        <v>1523</v>
      </c>
      <c r="B196" t="s">
        <v>1509</v>
      </c>
      <c r="C196" t="s">
        <v>1524</v>
      </c>
      <c r="D196" s="1">
        <v>17.54</v>
      </c>
      <c r="E196" s="2">
        <v>4.95</v>
      </c>
      <c r="F196" s="2">
        <v>86.82</v>
      </c>
      <c r="G196" t="s">
        <v>1525</v>
      </c>
      <c r="H196" t="s">
        <v>1525</v>
      </c>
    </row>
    <row r="197" spans="1:8">
      <c r="A197" t="s">
        <v>1526</v>
      </c>
      <c r="B197" t="s">
        <v>1527</v>
      </c>
      <c r="C197" t="s">
        <v>1528</v>
      </c>
      <c r="D197" s="1">
        <v>15.17</v>
      </c>
      <c r="E197" s="2">
        <v>8</v>
      </c>
      <c r="F197" s="2">
        <v>121.36</v>
      </c>
      <c r="G197" t="s">
        <v>1514</v>
      </c>
      <c r="H197" t="s">
        <v>1514</v>
      </c>
    </row>
    <row r="198" spans="1:8">
      <c r="A198" t="s">
        <v>1529</v>
      </c>
      <c r="B198" t="s">
        <v>1527</v>
      </c>
      <c r="C198" t="s">
        <v>1513</v>
      </c>
      <c r="D198" s="1">
        <v>16.36</v>
      </c>
      <c r="E198" s="2">
        <v>3.95</v>
      </c>
      <c r="F198" s="2">
        <v>64.62</v>
      </c>
      <c r="G198" t="s">
        <v>1335</v>
      </c>
      <c r="H198" t="s">
        <v>1335</v>
      </c>
    </row>
    <row r="199" spans="1:8">
      <c r="A199" t="s">
        <v>1530</v>
      </c>
      <c r="B199" t="s">
        <v>1527</v>
      </c>
      <c r="C199" t="s">
        <v>1531</v>
      </c>
      <c r="D199" s="1">
        <v>1</v>
      </c>
      <c r="E199" s="2">
        <v>75</v>
      </c>
      <c r="F199" s="2">
        <v>75</v>
      </c>
      <c r="G199" t="s">
        <v>1532</v>
      </c>
      <c r="H199" t="s">
        <v>1532</v>
      </c>
    </row>
    <row r="200" spans="1:8">
      <c r="A200" t="s">
        <v>1533</v>
      </c>
      <c r="B200" t="s">
        <v>1534</v>
      </c>
      <c r="C200" t="s">
        <v>1535</v>
      </c>
      <c r="D200" s="1">
        <v>19.06</v>
      </c>
      <c r="E200" s="2">
        <v>4.2</v>
      </c>
      <c r="F200" s="2">
        <v>80.05</v>
      </c>
      <c r="G200" t="s">
        <v>1536</v>
      </c>
      <c r="H200" t="s">
        <v>1536</v>
      </c>
    </row>
    <row r="201" spans="1:8">
      <c r="A201" t="s">
        <v>1537</v>
      </c>
      <c r="B201" t="s">
        <v>1534</v>
      </c>
      <c r="C201" t="s">
        <v>1315</v>
      </c>
      <c r="D201" s="1">
        <v>17.03</v>
      </c>
      <c r="E201" s="2">
        <v>4.95</v>
      </c>
      <c r="F201" s="2">
        <v>84.3</v>
      </c>
      <c r="G201" t="s">
        <v>1220</v>
      </c>
      <c r="H201" t="s">
        <v>1220</v>
      </c>
    </row>
    <row r="202" spans="1:8">
      <c r="A202" t="s">
        <v>1538</v>
      </c>
      <c r="B202" t="s">
        <v>1534</v>
      </c>
      <c r="C202" t="s">
        <v>1539</v>
      </c>
      <c r="D202" s="1">
        <v>18.98</v>
      </c>
      <c r="E202" s="2">
        <v>3.95</v>
      </c>
      <c r="F202" s="2">
        <v>74.97</v>
      </c>
      <c r="G202" t="s">
        <v>1504</v>
      </c>
      <c r="H202" t="s">
        <v>1504</v>
      </c>
    </row>
    <row r="203" spans="1:8">
      <c r="A203" t="s">
        <v>1540</v>
      </c>
      <c r="B203" t="s">
        <v>1534</v>
      </c>
      <c r="C203" t="s">
        <v>1541</v>
      </c>
      <c r="D203" s="1">
        <v>19.2</v>
      </c>
      <c r="E203" s="2">
        <v>4.3</v>
      </c>
      <c r="F203" s="2">
        <v>82.56</v>
      </c>
      <c r="G203" t="s">
        <v>1542</v>
      </c>
      <c r="H203" t="s">
        <v>1542</v>
      </c>
    </row>
    <row r="204" spans="1:8">
      <c r="A204" t="s">
        <v>1543</v>
      </c>
      <c r="B204" t="s">
        <v>1534</v>
      </c>
      <c r="C204" t="s">
        <v>1544</v>
      </c>
      <c r="D204" s="1">
        <v>22.41</v>
      </c>
      <c r="E204" s="2">
        <v>4.3</v>
      </c>
      <c r="F204" s="2">
        <v>96.36</v>
      </c>
      <c r="G204" t="s">
        <v>1514</v>
      </c>
      <c r="H204" t="s">
        <v>1514</v>
      </c>
    </row>
    <row r="205" spans="1:8">
      <c r="A205" t="s">
        <v>1545</v>
      </c>
      <c r="B205" t="s">
        <v>1534</v>
      </c>
      <c r="C205" t="s">
        <v>1544</v>
      </c>
      <c r="D205" s="1">
        <v>22.45</v>
      </c>
      <c r="E205" s="2">
        <v>4.3</v>
      </c>
      <c r="F205" s="2">
        <v>96.54</v>
      </c>
      <c r="G205" t="s">
        <v>1514</v>
      </c>
      <c r="H205" t="s">
        <v>1514</v>
      </c>
    </row>
    <row r="206" spans="1:8">
      <c r="A206" t="s">
        <v>1546</v>
      </c>
      <c r="B206" t="s">
        <v>1534</v>
      </c>
      <c r="C206" t="s">
        <v>1544</v>
      </c>
      <c r="D206" s="1">
        <v>22.45</v>
      </c>
      <c r="E206" s="2">
        <v>4.3</v>
      </c>
      <c r="F206" s="2">
        <v>96.54</v>
      </c>
      <c r="G206" t="s">
        <v>1514</v>
      </c>
      <c r="H206" t="s">
        <v>1514</v>
      </c>
    </row>
    <row r="207" spans="1:8">
      <c r="A207" t="s">
        <v>1547</v>
      </c>
      <c r="B207" t="s">
        <v>1534</v>
      </c>
      <c r="C207" t="s">
        <v>1544</v>
      </c>
      <c r="D207" s="1">
        <v>22.36</v>
      </c>
      <c r="E207" s="2">
        <v>4.3</v>
      </c>
      <c r="F207" s="2">
        <v>96.15</v>
      </c>
      <c r="G207" t="s">
        <v>1514</v>
      </c>
      <c r="H207" t="s">
        <v>1514</v>
      </c>
    </row>
    <row r="208" spans="1:8">
      <c r="A208" t="s">
        <v>1548</v>
      </c>
      <c r="B208" t="s">
        <v>1534</v>
      </c>
      <c r="C208" t="s">
        <v>1549</v>
      </c>
      <c r="D208" s="1">
        <v>1</v>
      </c>
      <c r="E208" s="2">
        <v>37</v>
      </c>
      <c r="F208" s="2">
        <v>37</v>
      </c>
      <c r="G208" t="s">
        <v>1514</v>
      </c>
      <c r="H208" t="s">
        <v>1514</v>
      </c>
    </row>
    <row r="209" spans="1:8">
      <c r="A209" t="s">
        <v>1550</v>
      </c>
      <c r="B209" t="s">
        <v>1534</v>
      </c>
      <c r="C209" t="s">
        <v>1549</v>
      </c>
      <c r="D209" s="1">
        <v>11.87</v>
      </c>
      <c r="E209" s="2">
        <v>5.2</v>
      </c>
      <c r="F209" s="2">
        <v>61.72</v>
      </c>
      <c r="G209" t="s">
        <v>1514</v>
      </c>
      <c r="H209" t="s">
        <v>1514</v>
      </c>
    </row>
    <row r="210" spans="1:8">
      <c r="A210" t="s">
        <v>1551</v>
      </c>
      <c r="B210" t="s">
        <v>565</v>
      </c>
      <c r="C210" t="s">
        <v>1552</v>
      </c>
      <c r="D210" s="1">
        <v>22.18</v>
      </c>
      <c r="E210" s="2">
        <v>5.9</v>
      </c>
      <c r="F210" s="2">
        <v>130.86</v>
      </c>
      <c r="G210" t="s">
        <v>1097</v>
      </c>
      <c r="H210" t="s">
        <v>1097</v>
      </c>
    </row>
    <row r="211" spans="1:8">
      <c r="A211" t="s">
        <v>1553</v>
      </c>
      <c r="B211" t="s">
        <v>1554</v>
      </c>
      <c r="C211" t="s">
        <v>1555</v>
      </c>
      <c r="D211" s="1">
        <v>16.39</v>
      </c>
      <c r="E211" s="2">
        <v>4.3</v>
      </c>
      <c r="F211" s="2">
        <v>70.48</v>
      </c>
      <c r="G211" t="s">
        <v>1556</v>
      </c>
      <c r="H211" t="s">
        <v>1556</v>
      </c>
    </row>
    <row r="212" spans="1:8">
      <c r="A212" t="s">
        <v>1557</v>
      </c>
      <c r="B212" t="s">
        <v>1554</v>
      </c>
      <c r="C212" t="s">
        <v>1558</v>
      </c>
      <c r="D212" s="1">
        <v>1</v>
      </c>
      <c r="E212" s="2">
        <v>115.1</v>
      </c>
      <c r="F212" s="2">
        <v>115.1</v>
      </c>
      <c r="G212" t="s">
        <v>1559</v>
      </c>
      <c r="H212" t="s">
        <v>1559</v>
      </c>
    </row>
    <row r="213" spans="1:8">
      <c r="A213" t="s">
        <v>1560</v>
      </c>
      <c r="B213" t="s">
        <v>1561</v>
      </c>
      <c r="C213" t="s">
        <v>1562</v>
      </c>
      <c r="D213" s="1">
        <v>21.56</v>
      </c>
      <c r="E213" s="2">
        <v>5.2</v>
      </c>
      <c r="F213" s="2">
        <v>112.11</v>
      </c>
      <c r="G213" t="s">
        <v>1097</v>
      </c>
      <c r="H213" t="s">
        <v>1097</v>
      </c>
    </row>
    <row r="214" spans="1:8">
      <c r="A214" t="s">
        <v>1563</v>
      </c>
      <c r="B214" t="s">
        <v>1564</v>
      </c>
      <c r="C214" t="s">
        <v>1565</v>
      </c>
      <c r="D214" s="1">
        <v>20.24</v>
      </c>
      <c r="E214" s="2">
        <v>5.15</v>
      </c>
      <c r="F214" s="2">
        <v>104.24</v>
      </c>
      <c r="G214" t="s">
        <v>1566</v>
      </c>
      <c r="H214" t="s">
        <v>1566</v>
      </c>
    </row>
    <row r="215" spans="1:8">
      <c r="A215" t="s">
        <v>1567</v>
      </c>
      <c r="B215" t="s">
        <v>1568</v>
      </c>
      <c r="C215" t="s">
        <v>1569</v>
      </c>
      <c r="D215" s="1">
        <v>15.62</v>
      </c>
      <c r="E215" s="2">
        <v>5.7</v>
      </c>
      <c r="F215" s="2">
        <v>89.03</v>
      </c>
      <c r="G215" t="s">
        <v>1444</v>
      </c>
      <c r="H215" t="s">
        <v>1444</v>
      </c>
    </row>
    <row r="216" spans="1:8">
      <c r="A216" t="s">
        <v>1570</v>
      </c>
      <c r="B216" t="s">
        <v>1568</v>
      </c>
      <c r="C216" t="s">
        <v>1571</v>
      </c>
      <c r="D216" s="1">
        <v>18.06</v>
      </c>
      <c r="E216" s="2">
        <v>6.15</v>
      </c>
      <c r="F216" s="2">
        <v>111.07</v>
      </c>
      <c r="G216" t="s">
        <v>1475</v>
      </c>
      <c r="H216" t="s">
        <v>1475</v>
      </c>
    </row>
    <row r="217" spans="1:8">
      <c r="A217" t="s">
        <v>1572</v>
      </c>
      <c r="B217" t="s">
        <v>1568</v>
      </c>
      <c r="C217" t="s">
        <v>1573</v>
      </c>
      <c r="D217" s="1">
        <v>1</v>
      </c>
      <c r="E217" s="2">
        <v>60</v>
      </c>
      <c r="F217" s="2">
        <v>60</v>
      </c>
      <c r="G217" t="s">
        <v>1437</v>
      </c>
      <c r="H217" t="s">
        <v>1437</v>
      </c>
    </row>
    <row r="218" spans="1:8">
      <c r="A218" t="s">
        <v>1574</v>
      </c>
      <c r="B218" t="s">
        <v>1568</v>
      </c>
      <c r="C218" t="s">
        <v>1278</v>
      </c>
      <c r="D218" s="1">
        <v>1</v>
      </c>
      <c r="E218" s="2">
        <v>30</v>
      </c>
      <c r="F218" s="2">
        <v>30</v>
      </c>
      <c r="G218" t="s">
        <v>1575</v>
      </c>
      <c r="H218" t="s">
        <v>1575</v>
      </c>
    </row>
    <row r="219" spans="1:8">
      <c r="A219" t="s">
        <v>1576</v>
      </c>
      <c r="B219" t="s">
        <v>1577</v>
      </c>
      <c r="C219" t="s">
        <v>1578</v>
      </c>
      <c r="D219" s="1">
        <v>15.54</v>
      </c>
      <c r="E219" s="2">
        <v>3.7</v>
      </c>
      <c r="F219" s="2">
        <v>57.5</v>
      </c>
      <c r="G219" t="s">
        <v>1579</v>
      </c>
      <c r="H219" t="s">
        <v>1579</v>
      </c>
    </row>
    <row r="220" spans="1:8">
      <c r="A220" t="s">
        <v>1580</v>
      </c>
      <c r="B220" t="s">
        <v>1581</v>
      </c>
      <c r="C220" t="s">
        <v>1582</v>
      </c>
      <c r="D220" s="1">
        <v>24.44</v>
      </c>
      <c r="E220" s="2">
        <v>3.55</v>
      </c>
      <c r="F220" s="2">
        <v>86.76</v>
      </c>
      <c r="G220" t="s">
        <v>1583</v>
      </c>
      <c r="H220" t="s">
        <v>1583</v>
      </c>
    </row>
    <row r="221" spans="1:8">
      <c r="A221" t="s">
        <v>1584</v>
      </c>
      <c r="B221" t="s">
        <v>1581</v>
      </c>
      <c r="C221" t="s">
        <v>1102</v>
      </c>
      <c r="D221" s="1">
        <v>24.48</v>
      </c>
      <c r="E221" s="2">
        <v>5.7</v>
      </c>
      <c r="F221" s="2">
        <v>139.54</v>
      </c>
      <c r="G221" t="s">
        <v>1583</v>
      </c>
      <c r="H221" t="s">
        <v>1583</v>
      </c>
    </row>
    <row r="222" spans="1:8">
      <c r="A222" t="s">
        <v>1585</v>
      </c>
      <c r="B222" t="s">
        <v>1586</v>
      </c>
      <c r="C222" t="s">
        <v>1587</v>
      </c>
      <c r="D222" s="1">
        <v>20.66</v>
      </c>
      <c r="E222" s="2">
        <v>5.45</v>
      </c>
      <c r="F222" s="2">
        <v>112.6</v>
      </c>
      <c r="G222" t="s">
        <v>1583</v>
      </c>
      <c r="H222" t="s">
        <v>1583</v>
      </c>
    </row>
    <row r="223" spans="1:8">
      <c r="A223" t="s">
        <v>1588</v>
      </c>
      <c r="B223" t="s">
        <v>1589</v>
      </c>
      <c r="C223" t="s">
        <v>1590</v>
      </c>
      <c r="D223" s="1">
        <v>18.72</v>
      </c>
      <c r="E223" s="2">
        <v>9</v>
      </c>
      <c r="F223" s="2">
        <v>168.48</v>
      </c>
      <c r="G223" t="s">
        <v>1090</v>
      </c>
      <c r="H223" t="s">
        <v>1090</v>
      </c>
    </row>
    <row r="224" spans="1:8">
      <c r="A224" t="s">
        <v>1591</v>
      </c>
      <c r="B224" t="s">
        <v>674</v>
      </c>
      <c r="C224" t="s">
        <v>1592</v>
      </c>
      <c r="D224" s="1">
        <v>19.68</v>
      </c>
      <c r="E224" s="2">
        <v>4.55</v>
      </c>
      <c r="F224" s="2">
        <v>89.54</v>
      </c>
      <c r="G224" t="s">
        <v>1593</v>
      </c>
      <c r="H224" t="s">
        <v>1593</v>
      </c>
    </row>
    <row r="225" spans="1:8">
      <c r="A225" t="s">
        <v>1594</v>
      </c>
      <c r="B225" t="s">
        <v>1595</v>
      </c>
      <c r="C225" t="s">
        <v>1596</v>
      </c>
      <c r="D225" s="1">
        <v>1</v>
      </c>
      <c r="E225" s="2">
        <v>35</v>
      </c>
      <c r="F225" s="2">
        <v>35</v>
      </c>
      <c r="G225" t="s">
        <v>1597</v>
      </c>
      <c r="H225" t="s">
        <v>1597</v>
      </c>
    </row>
    <row r="226" spans="1:8">
      <c r="A226" t="s">
        <v>1598</v>
      </c>
      <c r="B226" t="s">
        <v>1599</v>
      </c>
      <c r="C226" t="s">
        <v>1600</v>
      </c>
      <c r="D226" s="1">
        <v>15.89</v>
      </c>
      <c r="E226" s="2">
        <v>4.95</v>
      </c>
      <c r="F226" s="2">
        <v>78.66</v>
      </c>
      <c r="G226" t="s">
        <v>1220</v>
      </c>
      <c r="H226" t="s">
        <v>1220</v>
      </c>
    </row>
    <row r="227" spans="1:8">
      <c r="A227" t="s">
        <v>1601</v>
      </c>
      <c r="B227" t="s">
        <v>1602</v>
      </c>
      <c r="C227" t="s">
        <v>1603</v>
      </c>
      <c r="D227" s="1">
        <v>16.67</v>
      </c>
      <c r="E227" s="2">
        <v>3.7</v>
      </c>
      <c r="F227" s="2">
        <v>61.68</v>
      </c>
      <c r="G227" t="s">
        <v>1593</v>
      </c>
      <c r="H227" t="s">
        <v>1593</v>
      </c>
    </row>
    <row r="228" spans="1:8">
      <c r="A228" t="s">
        <v>1604</v>
      </c>
      <c r="B228" t="s">
        <v>1605</v>
      </c>
      <c r="C228" t="s">
        <v>1606</v>
      </c>
      <c r="D228" s="1">
        <v>18.36</v>
      </c>
      <c r="E228" s="2">
        <v>4.95</v>
      </c>
      <c r="F228" s="2">
        <v>90.88</v>
      </c>
      <c r="G228" t="s">
        <v>1094</v>
      </c>
      <c r="H228" t="s">
        <v>1094</v>
      </c>
    </row>
    <row r="229" spans="1:8">
      <c r="A229" t="s">
        <v>1607</v>
      </c>
      <c r="B229" t="s">
        <v>1605</v>
      </c>
      <c r="C229" t="s">
        <v>1608</v>
      </c>
      <c r="D229" s="1">
        <v>18.48</v>
      </c>
      <c r="E229" s="2">
        <v>5.15</v>
      </c>
      <c r="F229" s="2">
        <v>95.17</v>
      </c>
      <c r="G229" t="s">
        <v>1542</v>
      </c>
      <c r="H229" t="s">
        <v>1542</v>
      </c>
    </row>
    <row r="230" spans="1:8">
      <c r="A230" t="s">
        <v>1609</v>
      </c>
      <c r="B230" t="s">
        <v>1605</v>
      </c>
      <c r="C230" t="s">
        <v>1608</v>
      </c>
      <c r="D230" s="1">
        <v>18.3</v>
      </c>
      <c r="E230" s="2">
        <v>5.15</v>
      </c>
      <c r="F230" s="2">
        <v>94.25</v>
      </c>
      <c r="G230" t="s">
        <v>1610</v>
      </c>
      <c r="H230" t="s">
        <v>1610</v>
      </c>
    </row>
    <row r="231" spans="1:8">
      <c r="A231" t="s">
        <v>1611</v>
      </c>
      <c r="B231" t="s">
        <v>1605</v>
      </c>
      <c r="C231" t="s">
        <v>1612</v>
      </c>
      <c r="D231" s="1">
        <v>18.86</v>
      </c>
      <c r="E231" s="2">
        <v>5.15</v>
      </c>
      <c r="F231" s="2">
        <v>97.13</v>
      </c>
      <c r="G231" t="s">
        <v>1444</v>
      </c>
      <c r="H231" t="s">
        <v>1444</v>
      </c>
    </row>
    <row r="232" spans="1:8">
      <c r="A232" t="s">
        <v>1613</v>
      </c>
      <c r="B232" t="s">
        <v>1614</v>
      </c>
      <c r="C232" t="s">
        <v>1615</v>
      </c>
      <c r="D232" s="1">
        <v>18.67</v>
      </c>
      <c r="E232" s="2">
        <v>4.4</v>
      </c>
      <c r="F232" s="2">
        <v>82.15</v>
      </c>
      <c r="G232" t="s">
        <v>1236</v>
      </c>
      <c r="H232" t="s">
        <v>1236</v>
      </c>
    </row>
    <row r="233" spans="1:8">
      <c r="A233" t="s">
        <v>1616</v>
      </c>
      <c r="B233" t="s">
        <v>1614</v>
      </c>
      <c r="C233" t="s">
        <v>1617</v>
      </c>
      <c r="D233" s="1">
        <v>18.76</v>
      </c>
      <c r="E233" s="2">
        <v>5.45</v>
      </c>
      <c r="F233" s="2">
        <v>102.24</v>
      </c>
      <c r="G233" t="s">
        <v>1236</v>
      </c>
      <c r="H233" t="s">
        <v>1236</v>
      </c>
    </row>
    <row r="234" spans="1:8">
      <c r="A234" t="s">
        <v>1618</v>
      </c>
      <c r="B234" t="s">
        <v>1614</v>
      </c>
      <c r="C234" t="s">
        <v>1619</v>
      </c>
      <c r="D234" s="1">
        <v>1</v>
      </c>
      <c r="E234" s="2">
        <v>50</v>
      </c>
      <c r="F234" s="2">
        <v>50</v>
      </c>
      <c r="G234" t="s">
        <v>1620</v>
      </c>
      <c r="H234" t="s">
        <v>1620</v>
      </c>
    </row>
    <row r="235" spans="1:8">
      <c r="A235" t="s">
        <v>1621</v>
      </c>
      <c r="B235" t="s">
        <v>1614</v>
      </c>
      <c r="C235" t="s">
        <v>1622</v>
      </c>
      <c r="D235" s="1">
        <v>1</v>
      </c>
      <c r="E235" s="2">
        <v>100</v>
      </c>
      <c r="F235" s="2">
        <v>100</v>
      </c>
      <c r="G235" t="s">
        <v>1623</v>
      </c>
      <c r="H235" t="s">
        <v>1623</v>
      </c>
    </row>
    <row r="236" spans="1:8">
      <c r="A236" t="s">
        <v>1624</v>
      </c>
      <c r="B236" t="s">
        <v>1614</v>
      </c>
      <c r="C236" t="s">
        <v>1625</v>
      </c>
      <c r="D236" s="1">
        <v>18.89</v>
      </c>
      <c r="E236" s="2">
        <v>7.55</v>
      </c>
      <c r="F236" s="2">
        <v>142.62</v>
      </c>
      <c r="G236" t="s">
        <v>1593</v>
      </c>
      <c r="H236" t="s">
        <v>1593</v>
      </c>
    </row>
    <row r="237" spans="1:8">
      <c r="A237" t="s">
        <v>1626</v>
      </c>
      <c r="B237" t="s">
        <v>1627</v>
      </c>
      <c r="C237" t="s">
        <v>1628</v>
      </c>
      <c r="D237" s="1">
        <v>24.72</v>
      </c>
      <c r="E237" s="2">
        <v>6.45</v>
      </c>
      <c r="F237" s="2">
        <v>159.44</v>
      </c>
      <c r="G237" t="s">
        <v>1248</v>
      </c>
      <c r="H237" t="s">
        <v>1248</v>
      </c>
    </row>
    <row r="238" spans="1:8">
      <c r="A238" t="s">
        <v>1629</v>
      </c>
      <c r="B238" t="s">
        <v>1630</v>
      </c>
      <c r="C238" t="s">
        <v>1631</v>
      </c>
      <c r="D238" s="1">
        <v>19.55</v>
      </c>
      <c r="E238" s="2">
        <v>5.15</v>
      </c>
      <c r="F238" s="2">
        <v>100.68</v>
      </c>
      <c r="G238" t="s">
        <v>982</v>
      </c>
      <c r="H238" t="s">
        <v>982</v>
      </c>
    </row>
    <row r="239" spans="1:8">
      <c r="A239" t="s">
        <v>1632</v>
      </c>
      <c r="B239" t="s">
        <v>1630</v>
      </c>
      <c r="C239" t="s">
        <v>39</v>
      </c>
      <c r="D239" s="1">
        <v>19.44</v>
      </c>
      <c r="E239" s="2">
        <v>6.2</v>
      </c>
      <c r="F239" s="2">
        <v>120.53</v>
      </c>
      <c r="G239" t="s">
        <v>982</v>
      </c>
      <c r="H239" t="s">
        <v>982</v>
      </c>
    </row>
    <row r="240" spans="1:8">
      <c r="A240" t="s">
        <v>1633</v>
      </c>
      <c r="B240" t="s">
        <v>1634</v>
      </c>
      <c r="C240" t="s">
        <v>1635</v>
      </c>
      <c r="D240" s="1">
        <v>17.26</v>
      </c>
      <c r="E240" s="2">
        <v>4.95</v>
      </c>
      <c r="F240" s="2">
        <v>85.44</v>
      </c>
      <c r="G240" t="s">
        <v>1118</v>
      </c>
      <c r="H240" t="s">
        <v>1118</v>
      </c>
    </row>
    <row r="241" spans="1:8">
      <c r="A241" t="s">
        <v>1636</v>
      </c>
      <c r="B241" t="s">
        <v>1637</v>
      </c>
      <c r="C241" t="s">
        <v>1638</v>
      </c>
      <c r="D241" s="1">
        <v>17.08</v>
      </c>
      <c r="E241" s="2">
        <v>4.9</v>
      </c>
      <c r="F241" s="2">
        <v>83.69</v>
      </c>
      <c r="G241" t="s">
        <v>1444</v>
      </c>
      <c r="H241" t="s">
        <v>1444</v>
      </c>
    </row>
    <row r="242" spans="1:8">
      <c r="A242" t="s">
        <v>1639</v>
      </c>
      <c r="B242" t="s">
        <v>1637</v>
      </c>
      <c r="C242" t="s">
        <v>1640</v>
      </c>
      <c r="D242" s="1">
        <v>16.79</v>
      </c>
      <c r="E242" s="2">
        <v>3.7</v>
      </c>
      <c r="F242" s="2">
        <v>62.12</v>
      </c>
      <c r="G242" t="s">
        <v>1313</v>
      </c>
      <c r="H242" t="s">
        <v>1313</v>
      </c>
    </row>
    <row r="243" spans="1:8">
      <c r="A243" t="s">
        <v>1641</v>
      </c>
      <c r="B243" t="s">
        <v>1642</v>
      </c>
      <c r="C243" t="s">
        <v>1643</v>
      </c>
      <c r="D243" s="1">
        <v>14.81</v>
      </c>
      <c r="E243" s="2">
        <v>5.7</v>
      </c>
      <c r="F243" s="2">
        <v>84.42</v>
      </c>
      <c r="G243" t="s">
        <v>1313</v>
      </c>
      <c r="H243" t="s">
        <v>1313</v>
      </c>
    </row>
    <row r="244" spans="1:8">
      <c r="A244" t="s">
        <v>1644</v>
      </c>
      <c r="B244" t="s">
        <v>684</v>
      </c>
      <c r="C244" t="s">
        <v>1645</v>
      </c>
      <c r="D244" s="1">
        <v>15.76</v>
      </c>
      <c r="E244" s="2">
        <v>5.95</v>
      </c>
      <c r="F244" s="2">
        <v>93.77</v>
      </c>
      <c r="G244" t="s">
        <v>1313</v>
      </c>
      <c r="H244" t="s">
        <v>1313</v>
      </c>
    </row>
    <row r="245" spans="1:8">
      <c r="A245" t="s">
        <v>1646</v>
      </c>
      <c r="B245" t="s">
        <v>684</v>
      </c>
      <c r="C245" t="s">
        <v>1647</v>
      </c>
      <c r="D245" s="1">
        <v>16</v>
      </c>
      <c r="E245" s="2">
        <v>3.5</v>
      </c>
      <c r="F245" s="2">
        <v>56</v>
      </c>
      <c r="G245" t="s">
        <v>1648</v>
      </c>
      <c r="H245" t="s">
        <v>1648</v>
      </c>
    </row>
    <row r="246" spans="1:8">
      <c r="A246" t="s">
        <v>1649</v>
      </c>
      <c r="B246" t="s">
        <v>684</v>
      </c>
      <c r="C246" t="s">
        <v>1650</v>
      </c>
      <c r="D246" s="1">
        <v>15.85</v>
      </c>
      <c r="E246" s="2">
        <v>4.4</v>
      </c>
      <c r="F246" s="2">
        <v>69.74</v>
      </c>
      <c r="G246" t="s">
        <v>1593</v>
      </c>
      <c r="H246" t="s">
        <v>1593</v>
      </c>
    </row>
    <row r="247" spans="1:8">
      <c r="A247" t="s">
        <v>1651</v>
      </c>
      <c r="B247" t="s">
        <v>684</v>
      </c>
      <c r="C247" t="s">
        <v>1652</v>
      </c>
      <c r="D247" s="1">
        <v>16.73</v>
      </c>
      <c r="E247" s="2">
        <v>8.5</v>
      </c>
      <c r="F247" s="2">
        <v>142.21</v>
      </c>
      <c r="G247" t="s">
        <v>1525</v>
      </c>
      <c r="H247" t="s">
        <v>1525</v>
      </c>
    </row>
    <row r="248" spans="1:8">
      <c r="A248" t="s">
        <v>1653</v>
      </c>
      <c r="B248" t="s">
        <v>684</v>
      </c>
      <c r="C248" t="s">
        <v>1654</v>
      </c>
      <c r="D248" s="1">
        <v>16.81</v>
      </c>
      <c r="E248" s="2">
        <v>5.7</v>
      </c>
      <c r="F248" s="2">
        <v>95.82</v>
      </c>
      <c r="G248" t="s">
        <v>1525</v>
      </c>
      <c r="H248" t="s">
        <v>1525</v>
      </c>
    </row>
    <row r="249" spans="1:8">
      <c r="A249" t="s">
        <v>1655</v>
      </c>
      <c r="B249" t="s">
        <v>1656</v>
      </c>
      <c r="C249" t="s">
        <v>318</v>
      </c>
      <c r="D249" s="1">
        <v>14.42</v>
      </c>
      <c r="E249" s="2">
        <v>4.2</v>
      </c>
      <c r="F249" s="2">
        <v>60.56</v>
      </c>
      <c r="G249" t="s">
        <v>14</v>
      </c>
      <c r="H249" t="s">
        <v>14</v>
      </c>
    </row>
    <row r="250" spans="1:8">
      <c r="A250" t="s">
        <v>1657</v>
      </c>
      <c r="B250" t="s">
        <v>740</v>
      </c>
      <c r="C250" t="s">
        <v>326</v>
      </c>
      <c r="D250" s="1">
        <v>18.64</v>
      </c>
      <c r="E250" s="2">
        <v>3.5</v>
      </c>
      <c r="F250" s="2">
        <v>65.24</v>
      </c>
      <c r="G250" t="s">
        <v>1267</v>
      </c>
      <c r="H250" t="s">
        <v>1267</v>
      </c>
    </row>
    <row r="251" spans="1:8">
      <c r="A251" t="s">
        <v>1658</v>
      </c>
      <c r="B251" t="s">
        <v>740</v>
      </c>
      <c r="C251" t="s">
        <v>326</v>
      </c>
      <c r="D251" s="1">
        <v>18.7</v>
      </c>
      <c r="E251" s="2">
        <v>3.5</v>
      </c>
      <c r="F251" s="2">
        <v>65.45</v>
      </c>
      <c r="G251" t="s">
        <v>14</v>
      </c>
      <c r="H251" t="s">
        <v>14</v>
      </c>
    </row>
    <row r="252" spans="1:8">
      <c r="A252" t="s">
        <v>1659</v>
      </c>
      <c r="B252" t="s">
        <v>740</v>
      </c>
      <c r="C252" t="s">
        <v>1337</v>
      </c>
      <c r="D252" s="1">
        <v>18.82</v>
      </c>
      <c r="E252" s="2">
        <v>3.35</v>
      </c>
      <c r="F252" s="2">
        <v>63.05</v>
      </c>
      <c r="G252" t="s">
        <v>1660</v>
      </c>
      <c r="H252" t="s">
        <v>1660</v>
      </c>
    </row>
    <row r="253" spans="1:8">
      <c r="A253" t="s">
        <v>1661</v>
      </c>
      <c r="B253" t="s">
        <v>740</v>
      </c>
      <c r="C253" t="s">
        <v>1662</v>
      </c>
      <c r="D253" s="1">
        <v>18.63</v>
      </c>
      <c r="E253" s="2">
        <v>6.4</v>
      </c>
      <c r="F253" s="2">
        <v>119.23</v>
      </c>
      <c r="G253" t="s">
        <v>1511</v>
      </c>
      <c r="H253" t="s">
        <v>1511</v>
      </c>
    </row>
    <row r="254" spans="1:8">
      <c r="A254" t="s">
        <v>1663</v>
      </c>
      <c r="B254" t="s">
        <v>1664</v>
      </c>
      <c r="C254" t="s">
        <v>1665</v>
      </c>
      <c r="D254" s="1">
        <v>17.64</v>
      </c>
      <c r="E254" s="2">
        <v>5.15</v>
      </c>
      <c r="F254" s="2">
        <v>90.85</v>
      </c>
      <c r="G254" t="s">
        <v>1660</v>
      </c>
      <c r="H254" t="s">
        <v>1660</v>
      </c>
    </row>
    <row r="255" spans="1:8">
      <c r="A255" t="s">
        <v>1666</v>
      </c>
      <c r="B255" t="s">
        <v>1664</v>
      </c>
      <c r="C255" t="s">
        <v>1667</v>
      </c>
      <c r="D255" s="1">
        <v>1</v>
      </c>
      <c r="E255" s="2">
        <v>45</v>
      </c>
      <c r="F255" s="2">
        <v>45</v>
      </c>
      <c r="G255" t="s">
        <v>1118</v>
      </c>
      <c r="H255" t="s">
        <v>1118</v>
      </c>
    </row>
    <row r="256" spans="1:8">
      <c r="A256" t="s">
        <v>1668</v>
      </c>
      <c r="B256" t="s">
        <v>1669</v>
      </c>
      <c r="C256" t="s">
        <v>1670</v>
      </c>
      <c r="D256" s="1">
        <v>13.82</v>
      </c>
      <c r="E256" s="2">
        <v>4.7</v>
      </c>
      <c r="F256" s="2">
        <v>64.95</v>
      </c>
      <c r="G256" t="s">
        <v>1536</v>
      </c>
      <c r="H256" t="s">
        <v>1536</v>
      </c>
    </row>
    <row r="257" spans="1:8">
      <c r="A257" t="s">
        <v>1671</v>
      </c>
      <c r="B257" t="s">
        <v>1669</v>
      </c>
      <c r="C257" t="s">
        <v>1672</v>
      </c>
      <c r="D257" s="1">
        <v>13.02</v>
      </c>
      <c r="E257" s="2">
        <v>7.25</v>
      </c>
      <c r="F257" s="2">
        <v>94.4</v>
      </c>
      <c r="G257" t="s">
        <v>1673</v>
      </c>
      <c r="H257" t="s">
        <v>1673</v>
      </c>
    </row>
    <row r="258" spans="1:8">
      <c r="A258" t="s">
        <v>1674</v>
      </c>
      <c r="B258" t="s">
        <v>1669</v>
      </c>
      <c r="C258" t="s">
        <v>1675</v>
      </c>
      <c r="D258" s="1">
        <v>13.05</v>
      </c>
      <c r="E258" s="2">
        <v>6.95</v>
      </c>
      <c r="F258" s="2">
        <v>90.7</v>
      </c>
      <c r="G258" t="s">
        <v>1673</v>
      </c>
      <c r="H258" t="s">
        <v>1673</v>
      </c>
    </row>
    <row r="259" spans="1:8">
      <c r="A259" t="s">
        <v>1676</v>
      </c>
      <c r="B259" t="s">
        <v>1669</v>
      </c>
      <c r="C259" t="s">
        <v>1677</v>
      </c>
      <c r="D259" s="1">
        <v>13.08</v>
      </c>
      <c r="E259" s="2">
        <v>3.7</v>
      </c>
      <c r="F259" s="2">
        <v>48.4</v>
      </c>
      <c r="G259" t="s">
        <v>1673</v>
      </c>
      <c r="H259" t="s">
        <v>1673</v>
      </c>
    </row>
    <row r="260" spans="1:8">
      <c r="A260" t="s">
        <v>1678</v>
      </c>
      <c r="B260" t="s">
        <v>1669</v>
      </c>
      <c r="C260" t="s">
        <v>1679</v>
      </c>
      <c r="D260" s="1">
        <v>13.06</v>
      </c>
      <c r="E260" s="2">
        <v>5.45</v>
      </c>
      <c r="F260" s="2">
        <v>71.18</v>
      </c>
      <c r="G260" t="s">
        <v>1673</v>
      </c>
      <c r="H260" t="s">
        <v>1673</v>
      </c>
    </row>
    <row r="261" spans="1:8">
      <c r="A261" t="s">
        <v>1680</v>
      </c>
      <c r="B261" t="s">
        <v>1669</v>
      </c>
      <c r="C261" t="s">
        <v>1681</v>
      </c>
      <c r="D261" s="1">
        <v>14.46</v>
      </c>
      <c r="E261" s="2">
        <v>5.7</v>
      </c>
      <c r="F261" s="2">
        <v>82.42</v>
      </c>
      <c r="G261" t="s">
        <v>1118</v>
      </c>
      <c r="H261" t="s">
        <v>1118</v>
      </c>
    </row>
    <row r="262" spans="1:8">
      <c r="A262" t="s">
        <v>1682</v>
      </c>
      <c r="B262" t="s">
        <v>1683</v>
      </c>
      <c r="C262" t="s">
        <v>1684</v>
      </c>
      <c r="D262" s="1">
        <v>15.14</v>
      </c>
      <c r="E262" s="2">
        <v>7.75</v>
      </c>
      <c r="F262" s="2">
        <v>117.34</v>
      </c>
      <c r="G262" t="s">
        <v>1660</v>
      </c>
      <c r="H262" t="s">
        <v>1660</v>
      </c>
    </row>
    <row r="263" spans="1:8">
      <c r="A263" t="s">
        <v>1685</v>
      </c>
      <c r="B263" t="s">
        <v>1686</v>
      </c>
      <c r="C263" t="s">
        <v>1687</v>
      </c>
      <c r="D263" s="1">
        <v>16.9</v>
      </c>
      <c r="E263" s="2">
        <v>5.15</v>
      </c>
      <c r="F263" s="2">
        <v>87.04</v>
      </c>
      <c r="G263" t="s">
        <v>1267</v>
      </c>
      <c r="H263" t="s">
        <v>1267</v>
      </c>
    </row>
    <row r="264" spans="1:8">
      <c r="A264" t="s">
        <v>1688</v>
      </c>
      <c r="B264" t="s">
        <v>1689</v>
      </c>
      <c r="C264" t="s">
        <v>1690</v>
      </c>
      <c r="D264" s="1">
        <v>17.35</v>
      </c>
      <c r="E264" s="2">
        <v>5.15</v>
      </c>
      <c r="F264" s="2">
        <v>89.35</v>
      </c>
      <c r="G264" t="s">
        <v>1290</v>
      </c>
      <c r="H264" t="s">
        <v>1290</v>
      </c>
    </row>
    <row r="265" spans="1:8">
      <c r="A265" t="s">
        <v>1691</v>
      </c>
      <c r="B265" t="s">
        <v>770</v>
      </c>
      <c r="C265" t="s">
        <v>1692</v>
      </c>
      <c r="D265" s="1">
        <v>20.6</v>
      </c>
      <c r="E265" s="2">
        <v>3.1</v>
      </c>
      <c r="F265" s="2">
        <v>63.86</v>
      </c>
      <c r="G265" t="s">
        <v>1693</v>
      </c>
      <c r="H265" t="s">
        <v>1693</v>
      </c>
    </row>
    <row r="266" spans="1:8">
      <c r="A266" t="s">
        <v>1694</v>
      </c>
      <c r="B266" t="s">
        <v>770</v>
      </c>
      <c r="C266" t="s">
        <v>1695</v>
      </c>
      <c r="D266" s="1">
        <v>19.52</v>
      </c>
      <c r="E266" s="2">
        <v>5.45</v>
      </c>
      <c r="F266" s="2">
        <v>106.38</v>
      </c>
      <c r="G266" t="s">
        <v>1610</v>
      </c>
      <c r="H266" t="s">
        <v>1610</v>
      </c>
    </row>
    <row r="267" spans="1:8">
      <c r="A267" t="s">
        <v>1696</v>
      </c>
      <c r="B267" t="s">
        <v>770</v>
      </c>
      <c r="C267" t="s">
        <v>1402</v>
      </c>
      <c r="D267" s="1">
        <v>1</v>
      </c>
      <c r="E267" s="2">
        <v>325</v>
      </c>
      <c r="F267" s="2">
        <v>325</v>
      </c>
      <c r="G267" t="s">
        <v>1196</v>
      </c>
      <c r="H267" t="s">
        <v>1196</v>
      </c>
    </row>
    <row r="268" spans="1:8">
      <c r="A268" t="s">
        <v>1697</v>
      </c>
      <c r="B268" t="s">
        <v>770</v>
      </c>
      <c r="C268" t="s">
        <v>1116</v>
      </c>
      <c r="D268" s="1">
        <v>19.71</v>
      </c>
      <c r="E268" s="2">
        <v>4.7</v>
      </c>
      <c r="F268" s="2">
        <v>92.64</v>
      </c>
      <c r="G268" t="s">
        <v>1083</v>
      </c>
      <c r="H268" t="s">
        <v>1083</v>
      </c>
    </row>
    <row r="269" spans="1:8">
      <c r="A269" t="s">
        <v>1698</v>
      </c>
      <c r="B269" t="s">
        <v>1699</v>
      </c>
      <c r="C269" t="s">
        <v>1402</v>
      </c>
      <c r="D269" s="1">
        <v>1</v>
      </c>
      <c r="E269" s="2">
        <v>520</v>
      </c>
      <c r="F269" s="2">
        <v>520</v>
      </c>
      <c r="G269" t="s">
        <v>1196</v>
      </c>
      <c r="H269" t="s">
        <v>1196</v>
      </c>
    </row>
    <row r="270" spans="1:8">
      <c r="A270" t="s">
        <v>1700</v>
      </c>
      <c r="B270" t="s">
        <v>1699</v>
      </c>
      <c r="C270" t="s">
        <v>1402</v>
      </c>
      <c r="D270" s="1">
        <v>1</v>
      </c>
      <c r="E270" s="2">
        <v>325</v>
      </c>
      <c r="F270" s="2">
        <v>325</v>
      </c>
      <c r="G270" t="s">
        <v>1196</v>
      </c>
      <c r="H270" t="s">
        <v>1196</v>
      </c>
    </row>
    <row r="271" spans="1:8">
      <c r="A271" t="s">
        <v>1701</v>
      </c>
      <c r="B271" t="s">
        <v>1699</v>
      </c>
      <c r="C271" t="s">
        <v>1702</v>
      </c>
      <c r="D271" s="1">
        <v>17.69</v>
      </c>
      <c r="E271" s="2">
        <v>5.2</v>
      </c>
      <c r="F271" s="2">
        <v>91.99</v>
      </c>
      <c r="G271" t="s">
        <v>1083</v>
      </c>
      <c r="H271" t="s">
        <v>1083</v>
      </c>
    </row>
    <row r="272" spans="1:8">
      <c r="A272" t="s">
        <v>1703</v>
      </c>
      <c r="B272" t="s">
        <v>1704</v>
      </c>
      <c r="C272" t="s">
        <v>1705</v>
      </c>
      <c r="D272" s="1">
        <v>17.38</v>
      </c>
      <c r="E272" s="2">
        <v>3.95</v>
      </c>
      <c r="F272" s="2">
        <v>68.65</v>
      </c>
      <c r="G272" t="s">
        <v>1556</v>
      </c>
      <c r="H272" t="s">
        <v>1556</v>
      </c>
    </row>
    <row r="273" spans="1:8">
      <c r="A273" t="s">
        <v>1706</v>
      </c>
      <c r="B273" t="s">
        <v>1704</v>
      </c>
      <c r="C273" t="s">
        <v>1402</v>
      </c>
      <c r="D273" s="1">
        <v>1</v>
      </c>
      <c r="E273" s="2">
        <v>585</v>
      </c>
      <c r="F273" s="2">
        <v>585</v>
      </c>
      <c r="G273" t="s">
        <v>1196</v>
      </c>
      <c r="H273" t="s">
        <v>1196</v>
      </c>
    </row>
    <row r="274" spans="1:8">
      <c r="A274" t="s">
        <v>1707</v>
      </c>
      <c r="B274" t="s">
        <v>810</v>
      </c>
      <c r="C274" t="s">
        <v>1708</v>
      </c>
      <c r="D274" s="1">
        <v>20.53</v>
      </c>
      <c r="E274" s="2">
        <v>3.5</v>
      </c>
      <c r="F274" s="2">
        <v>71.86</v>
      </c>
      <c r="G274" t="s">
        <v>1225</v>
      </c>
      <c r="H274" t="s">
        <v>1226</v>
      </c>
    </row>
    <row r="275" spans="1:8">
      <c r="A275" t="s">
        <v>1709</v>
      </c>
      <c r="B275" t="s">
        <v>810</v>
      </c>
      <c r="C275" t="s">
        <v>1710</v>
      </c>
      <c r="D275" s="1">
        <v>20.28</v>
      </c>
      <c r="E275" s="2">
        <v>3.25</v>
      </c>
      <c r="F275" s="2">
        <v>65.91</v>
      </c>
      <c r="G275" t="s">
        <v>1711</v>
      </c>
      <c r="H275" t="s">
        <v>1711</v>
      </c>
    </row>
    <row r="276" spans="1:8">
      <c r="A276" t="s">
        <v>1712</v>
      </c>
      <c r="B276" t="s">
        <v>810</v>
      </c>
      <c r="C276" t="s">
        <v>1713</v>
      </c>
      <c r="D276" s="1">
        <v>19.57</v>
      </c>
      <c r="E276" s="2">
        <v>3.95</v>
      </c>
      <c r="F276" s="2">
        <v>77.3</v>
      </c>
      <c r="G276" t="s">
        <v>1361</v>
      </c>
      <c r="H276" t="s">
        <v>1361</v>
      </c>
    </row>
    <row r="277" spans="1:8">
      <c r="A277" t="s">
        <v>1714</v>
      </c>
      <c r="B277" t="s">
        <v>849</v>
      </c>
      <c r="C277" t="s">
        <v>1715</v>
      </c>
      <c r="D277" s="1">
        <v>18.44</v>
      </c>
      <c r="E277" s="2">
        <v>5.95</v>
      </c>
      <c r="F277" s="2">
        <v>109.72</v>
      </c>
      <c r="G277" t="s">
        <v>1364</v>
      </c>
      <c r="H277" t="s">
        <v>1364</v>
      </c>
    </row>
    <row r="278" spans="1:8">
      <c r="A278" t="s">
        <v>1716</v>
      </c>
      <c r="B278" t="s">
        <v>1717</v>
      </c>
      <c r="C278" t="s">
        <v>1718</v>
      </c>
      <c r="D278" s="1">
        <v>18.82</v>
      </c>
      <c r="E278" s="2">
        <v>5.45</v>
      </c>
      <c r="F278" s="2">
        <v>102.57</v>
      </c>
      <c r="G278" t="s">
        <v>1381</v>
      </c>
      <c r="H278" t="s">
        <v>1381</v>
      </c>
    </row>
    <row r="279" spans="1:8">
      <c r="A279" t="s">
        <v>1719</v>
      </c>
      <c r="B279" t="s">
        <v>1717</v>
      </c>
      <c r="C279" t="s">
        <v>1569</v>
      </c>
      <c r="D279" s="1">
        <v>16.51</v>
      </c>
      <c r="E279" s="2">
        <v>5.7</v>
      </c>
      <c r="F279" s="2">
        <v>94.11</v>
      </c>
      <c r="G279" t="s">
        <v>1444</v>
      </c>
      <c r="H279" t="s">
        <v>1444</v>
      </c>
    </row>
    <row r="280" spans="1:8">
      <c r="A280" t="s">
        <v>1720</v>
      </c>
      <c r="B280" t="s">
        <v>1717</v>
      </c>
      <c r="C280" t="s">
        <v>1721</v>
      </c>
      <c r="D280" s="1">
        <v>17.49</v>
      </c>
      <c r="E280" s="2">
        <v>3.7</v>
      </c>
      <c r="F280" s="2">
        <v>64.71</v>
      </c>
      <c r="G280" t="s">
        <v>1722</v>
      </c>
      <c r="H280" t="s">
        <v>1722</v>
      </c>
    </row>
    <row r="281" spans="1:8">
      <c r="A281" t="s">
        <v>1723</v>
      </c>
      <c r="B281" t="s">
        <v>1717</v>
      </c>
      <c r="C281" t="s">
        <v>1724</v>
      </c>
      <c r="D281" s="1">
        <v>17.44</v>
      </c>
      <c r="E281" s="2">
        <v>5.7</v>
      </c>
      <c r="F281" s="2">
        <v>99.41</v>
      </c>
      <c r="G281" t="s">
        <v>1245</v>
      </c>
      <c r="H281" t="s">
        <v>1245</v>
      </c>
    </row>
    <row r="282" spans="1:8">
      <c r="A282" t="s">
        <v>1725</v>
      </c>
      <c r="B282" t="s">
        <v>1726</v>
      </c>
      <c r="C282" t="s">
        <v>1727</v>
      </c>
      <c r="D282" s="1">
        <v>21.15</v>
      </c>
      <c r="E282" s="2">
        <v>4.2</v>
      </c>
      <c r="F282" s="2">
        <v>88.83</v>
      </c>
      <c r="G282" t="s">
        <v>1722</v>
      </c>
      <c r="H282" t="s">
        <v>1722</v>
      </c>
    </row>
    <row r="283" spans="1:8">
      <c r="A283" t="s">
        <v>1728</v>
      </c>
      <c r="B283" t="s">
        <v>882</v>
      </c>
      <c r="C283" t="s">
        <v>1692</v>
      </c>
      <c r="D283" s="1">
        <v>22.4</v>
      </c>
      <c r="E283" s="2">
        <v>3.1</v>
      </c>
      <c r="F283" s="2">
        <v>69.44</v>
      </c>
      <c r="G283" t="s">
        <v>1097</v>
      </c>
      <c r="H283" t="s">
        <v>1097</v>
      </c>
    </row>
    <row r="284" spans="1:8">
      <c r="A284" t="s">
        <v>1729</v>
      </c>
      <c r="B284" t="s">
        <v>882</v>
      </c>
      <c r="C284" t="s">
        <v>1730</v>
      </c>
      <c r="D284" s="1">
        <v>20.44</v>
      </c>
      <c r="E284" s="2">
        <v>3.45</v>
      </c>
      <c r="F284" s="2">
        <v>70.52</v>
      </c>
      <c r="G284" t="s">
        <v>1372</v>
      </c>
      <c r="H284" t="s">
        <v>1372</v>
      </c>
    </row>
    <row r="285" spans="1:8">
      <c r="A285" t="s">
        <v>1731</v>
      </c>
      <c r="B285" t="s">
        <v>882</v>
      </c>
      <c r="C285" t="s">
        <v>1732</v>
      </c>
      <c r="D285" s="1">
        <v>19.41</v>
      </c>
      <c r="E285" s="2">
        <v>3.95</v>
      </c>
      <c r="F285" s="2">
        <v>76.67</v>
      </c>
      <c r="G285" t="s">
        <v>1733</v>
      </c>
      <c r="H285" t="s">
        <v>1733</v>
      </c>
    </row>
    <row r="286" spans="1:8">
      <c r="A286" t="s">
        <v>1734</v>
      </c>
      <c r="B286" t="s">
        <v>882</v>
      </c>
      <c r="C286" t="s">
        <v>1735</v>
      </c>
      <c r="D286" s="1">
        <v>1</v>
      </c>
      <c r="E286" s="2">
        <v>125</v>
      </c>
      <c r="F286" s="2">
        <v>125</v>
      </c>
      <c r="G286" t="s">
        <v>1559</v>
      </c>
      <c r="H286" t="s">
        <v>1559</v>
      </c>
    </row>
    <row r="287" spans="1:8">
      <c r="A287" t="s">
        <v>1736</v>
      </c>
      <c r="B287" t="s">
        <v>1737</v>
      </c>
      <c r="C287" t="s">
        <v>1738</v>
      </c>
      <c r="D287" s="1">
        <v>18.78</v>
      </c>
      <c r="E287" s="2">
        <v>5.7</v>
      </c>
      <c r="F287" s="2">
        <v>107.05</v>
      </c>
      <c r="G287" t="s">
        <v>1444</v>
      </c>
      <c r="H287" t="s">
        <v>1444</v>
      </c>
    </row>
    <row r="288" spans="1:8">
      <c r="A288" t="s">
        <v>1739</v>
      </c>
      <c r="B288" t="s">
        <v>899</v>
      </c>
      <c r="C288" t="s">
        <v>1740</v>
      </c>
      <c r="D288" s="1">
        <v>19.44</v>
      </c>
      <c r="E288" s="2">
        <v>4.7</v>
      </c>
      <c r="F288" s="2">
        <v>91.37</v>
      </c>
      <c r="G288" t="s">
        <v>1741</v>
      </c>
      <c r="H288" t="s">
        <v>1741</v>
      </c>
    </row>
    <row r="289" spans="1:8">
      <c r="A289" t="s">
        <v>1742</v>
      </c>
      <c r="B289" t="s">
        <v>899</v>
      </c>
      <c r="C289" t="s">
        <v>1258</v>
      </c>
      <c r="D289" s="1">
        <v>22.53</v>
      </c>
      <c r="E289" s="2">
        <v>4.15</v>
      </c>
      <c r="F289" s="2">
        <v>93.5</v>
      </c>
      <c r="G289" t="s">
        <v>1472</v>
      </c>
      <c r="H289" t="s">
        <v>1472</v>
      </c>
    </row>
    <row r="290" spans="1:8">
      <c r="A290" t="s">
        <v>1743</v>
      </c>
      <c r="B290" t="s">
        <v>899</v>
      </c>
      <c r="C290" t="s">
        <v>1744</v>
      </c>
      <c r="D290" s="1">
        <v>19.85</v>
      </c>
      <c r="E290" s="2">
        <v>3.95</v>
      </c>
      <c r="F290" s="2">
        <v>78.41</v>
      </c>
      <c r="G290" t="s">
        <v>1305</v>
      </c>
      <c r="H290" t="s">
        <v>1305</v>
      </c>
    </row>
    <row r="291" spans="1:8">
      <c r="A291" t="s">
        <v>1745</v>
      </c>
      <c r="B291" t="s">
        <v>899</v>
      </c>
      <c r="C291" t="s">
        <v>1746</v>
      </c>
      <c r="D291" s="1">
        <v>20.35</v>
      </c>
      <c r="E291" s="2">
        <v>5.7</v>
      </c>
      <c r="F291" s="2">
        <v>116</v>
      </c>
      <c r="G291" t="s">
        <v>1248</v>
      </c>
      <c r="H291" t="s">
        <v>1248</v>
      </c>
    </row>
    <row r="292" spans="1:8">
      <c r="A292" t="s">
        <v>1747</v>
      </c>
      <c r="B292" t="s">
        <v>899</v>
      </c>
      <c r="C292" t="s">
        <v>1748</v>
      </c>
      <c r="D292" s="1">
        <v>20.73</v>
      </c>
      <c r="E292" s="2">
        <v>5.95</v>
      </c>
      <c r="F292" s="2">
        <v>123.34</v>
      </c>
      <c r="G292" t="s">
        <v>1711</v>
      </c>
      <c r="H292" t="s">
        <v>1711</v>
      </c>
    </row>
    <row r="293" spans="1:8">
      <c r="A293" t="s">
        <v>1749</v>
      </c>
      <c r="B293" t="s">
        <v>939</v>
      </c>
      <c r="C293" t="s">
        <v>75</v>
      </c>
      <c r="D293" s="1">
        <v>20.62</v>
      </c>
      <c r="E293" s="2">
        <v>5.95</v>
      </c>
      <c r="F293" s="2">
        <v>122.69</v>
      </c>
      <c r="G293" t="s">
        <v>1290</v>
      </c>
      <c r="H293" t="s">
        <v>1290</v>
      </c>
    </row>
    <row r="294" spans="1:8">
      <c r="A294" t="s">
        <v>1750</v>
      </c>
      <c r="B294" t="s">
        <v>939</v>
      </c>
      <c r="C294" t="s">
        <v>585</v>
      </c>
      <c r="D294" s="1">
        <v>20.61</v>
      </c>
      <c r="E294" s="2">
        <v>6.2</v>
      </c>
      <c r="F294" s="2">
        <v>127.78</v>
      </c>
      <c r="G294" t="s">
        <v>1267</v>
      </c>
      <c r="H294" t="s">
        <v>1267</v>
      </c>
    </row>
    <row r="295" spans="1:8">
      <c r="A295" t="s">
        <v>1751</v>
      </c>
      <c r="B295" t="s">
        <v>1752</v>
      </c>
      <c r="C295" t="s">
        <v>1402</v>
      </c>
      <c r="D295" s="1">
        <v>1</v>
      </c>
      <c r="E295" s="2">
        <v>520</v>
      </c>
      <c r="F295" s="2">
        <v>520</v>
      </c>
      <c r="G295" t="s">
        <v>1196</v>
      </c>
      <c r="H295" t="s">
        <v>1196</v>
      </c>
    </row>
    <row r="296" spans="1:8">
      <c r="A296" t="s">
        <v>1753</v>
      </c>
      <c r="B296" t="s">
        <v>968</v>
      </c>
      <c r="C296" t="s">
        <v>1754</v>
      </c>
      <c r="D296" s="1">
        <v>1</v>
      </c>
      <c r="E296" s="2">
        <v>80</v>
      </c>
      <c r="F296" s="2">
        <v>80</v>
      </c>
      <c r="G296" t="s">
        <v>1376</v>
      </c>
      <c r="H296" t="s">
        <v>1376</v>
      </c>
    </row>
    <row r="297" spans="1:8">
      <c r="A297" t="s">
        <v>1755</v>
      </c>
      <c r="B297" t="s">
        <v>968</v>
      </c>
      <c r="C297" t="s">
        <v>1378</v>
      </c>
      <c r="D297" s="1">
        <v>23.07</v>
      </c>
      <c r="E297" s="2">
        <v>6.15</v>
      </c>
      <c r="F297" s="2">
        <v>141.88</v>
      </c>
      <c r="G297" t="s">
        <v>1376</v>
      </c>
      <c r="H297" t="s">
        <v>1376</v>
      </c>
    </row>
    <row r="298" spans="1:8">
      <c r="A298" t="s">
        <v>1756</v>
      </c>
      <c r="B298" t="s">
        <v>968</v>
      </c>
      <c r="C298" t="s">
        <v>1754</v>
      </c>
      <c r="D298" s="1">
        <v>1</v>
      </c>
      <c r="E298" s="2">
        <v>103.5</v>
      </c>
      <c r="F298" s="2">
        <v>103.5</v>
      </c>
      <c r="G298" t="s">
        <v>1188</v>
      </c>
      <c r="H298" t="s">
        <v>1188</v>
      </c>
    </row>
    <row r="299" spans="1:8">
      <c r="A299" t="s">
        <v>1757</v>
      </c>
      <c r="B299" t="s">
        <v>968</v>
      </c>
      <c r="C299" t="s">
        <v>1758</v>
      </c>
      <c r="D299" s="1">
        <v>1</v>
      </c>
      <c r="E299" s="2">
        <v>100</v>
      </c>
      <c r="F299" s="2">
        <v>100</v>
      </c>
      <c r="G299" t="s">
        <v>1372</v>
      </c>
      <c r="H299" t="s">
        <v>1372</v>
      </c>
    </row>
    <row r="300" spans="1:8">
      <c r="A300" t="s">
        <v>1759</v>
      </c>
      <c r="B300" t="s">
        <v>968</v>
      </c>
      <c r="C300" t="s">
        <v>1760</v>
      </c>
      <c r="D300" s="1">
        <v>1</v>
      </c>
      <c r="E300" s="2">
        <v>166</v>
      </c>
      <c r="F300" s="2">
        <v>166</v>
      </c>
      <c r="G300" t="s">
        <v>1372</v>
      </c>
      <c r="H300" t="s">
        <v>1372</v>
      </c>
    </row>
    <row r="301" spans="1:8">
      <c r="A301" t="s">
        <v>1761</v>
      </c>
      <c r="B301" t="s">
        <v>968</v>
      </c>
      <c r="C301" t="s">
        <v>1762</v>
      </c>
      <c r="D301" s="1">
        <v>18.7</v>
      </c>
      <c r="E301" s="2">
        <v>5.95</v>
      </c>
      <c r="F301" s="2">
        <v>111.27</v>
      </c>
      <c r="G301" t="s">
        <v>1522</v>
      </c>
      <c r="H301" t="s">
        <v>1522</v>
      </c>
    </row>
    <row r="302" spans="1:8">
      <c r="A302" t="s">
        <v>1763</v>
      </c>
      <c r="B302" t="s">
        <v>1764</v>
      </c>
      <c r="C302" t="s">
        <v>1402</v>
      </c>
      <c r="D302" s="1">
        <v>1</v>
      </c>
      <c r="E302" s="2">
        <v>585</v>
      </c>
      <c r="F302" s="2">
        <v>585</v>
      </c>
      <c r="G302" t="s">
        <v>1196</v>
      </c>
      <c r="H302" t="s">
        <v>1196</v>
      </c>
    </row>
    <row r="303" spans="1:8">
      <c r="A303" t="s">
        <v>1765</v>
      </c>
      <c r="B303" t="s">
        <v>1764</v>
      </c>
      <c r="C303" t="s">
        <v>1402</v>
      </c>
      <c r="D303" s="1">
        <v>8</v>
      </c>
      <c r="E303" s="2">
        <v>520</v>
      </c>
      <c r="F303" s="2">
        <v>4160</v>
      </c>
      <c r="G303" t="s">
        <v>1196</v>
      </c>
      <c r="H303" t="s">
        <v>1196</v>
      </c>
    </row>
    <row r="304" spans="1:8">
      <c r="A304" t="s">
        <v>1766</v>
      </c>
      <c r="B304" t="s">
        <v>979</v>
      </c>
      <c r="C304" t="s">
        <v>1767</v>
      </c>
      <c r="D304" s="1">
        <v>18.72</v>
      </c>
      <c r="E304" s="2">
        <v>4.55</v>
      </c>
      <c r="F304" s="2">
        <v>85.18</v>
      </c>
      <c r="G304" t="s">
        <v>1331</v>
      </c>
      <c r="H304" t="s">
        <v>1331</v>
      </c>
    </row>
    <row r="305" spans="1:8">
      <c r="A305" t="s">
        <v>1768</v>
      </c>
      <c r="B305" t="s">
        <v>979</v>
      </c>
      <c r="C305" t="s">
        <v>1769</v>
      </c>
      <c r="D305" s="1">
        <v>20.7</v>
      </c>
      <c r="E305" s="2">
        <v>4.15</v>
      </c>
      <c r="F305" s="2">
        <v>85.91</v>
      </c>
      <c r="G305" t="s">
        <v>1770</v>
      </c>
      <c r="H305" t="s">
        <v>1770</v>
      </c>
    </row>
    <row r="306" spans="1:8">
      <c r="A306" t="s">
        <v>1771</v>
      </c>
      <c r="B306" t="s">
        <v>979</v>
      </c>
      <c r="C306" t="s">
        <v>1772</v>
      </c>
      <c r="D306" s="1">
        <v>20.92</v>
      </c>
      <c r="E306" s="2">
        <v>4.7</v>
      </c>
      <c r="F306" s="2">
        <v>98.32</v>
      </c>
      <c r="G306" t="s">
        <v>1773</v>
      </c>
      <c r="H306" t="s">
        <v>1773</v>
      </c>
    </row>
    <row r="307" spans="1:8">
      <c r="A307" t="s">
        <v>1774</v>
      </c>
      <c r="B307" t="s">
        <v>1028</v>
      </c>
      <c r="C307" t="s">
        <v>1775</v>
      </c>
      <c r="D307" s="1">
        <v>18.36</v>
      </c>
      <c r="E307" s="2">
        <v>4.2</v>
      </c>
      <c r="F307" s="2">
        <v>77.11</v>
      </c>
      <c r="G307" t="s">
        <v>1094</v>
      </c>
      <c r="H307" t="s">
        <v>1094</v>
      </c>
    </row>
    <row r="308" spans="1:8">
      <c r="A308" t="s">
        <v>1776</v>
      </c>
      <c r="B308" t="s">
        <v>1028</v>
      </c>
      <c r="C308" t="s">
        <v>1777</v>
      </c>
      <c r="D308" s="1">
        <v>17.97</v>
      </c>
      <c r="E308" s="2">
        <v>3.85</v>
      </c>
      <c r="F308" s="2">
        <v>69.18</v>
      </c>
      <c r="G308" t="s">
        <v>1770</v>
      </c>
      <c r="H308" t="s">
        <v>1770</v>
      </c>
    </row>
    <row r="309" spans="1:8">
      <c r="A309" t="s">
        <v>1778</v>
      </c>
      <c r="B309" t="s">
        <v>1779</v>
      </c>
      <c r="C309" t="s">
        <v>1780</v>
      </c>
      <c r="D309" s="1">
        <v>21.73</v>
      </c>
      <c r="E309" s="2">
        <v>6.15</v>
      </c>
      <c r="F309" s="2">
        <v>133.64</v>
      </c>
      <c r="G309" t="s">
        <v>1083</v>
      </c>
      <c r="H309" t="s">
        <v>1083</v>
      </c>
    </row>
    <row r="310" spans="1:8">
      <c r="A310" t="s">
        <v>1781</v>
      </c>
      <c r="B310" t="s">
        <v>1036</v>
      </c>
      <c r="C310" t="s">
        <v>1142</v>
      </c>
      <c r="D310" s="1">
        <v>19.38</v>
      </c>
      <c r="E310" s="2">
        <v>5.15</v>
      </c>
      <c r="F310" s="2">
        <v>99.81</v>
      </c>
      <c r="G310" t="s">
        <v>1722</v>
      </c>
      <c r="H310" t="s">
        <v>1722</v>
      </c>
    </row>
    <row r="311" spans="1:8">
      <c r="A311" t="s">
        <v>1782</v>
      </c>
      <c r="B311" t="s">
        <v>1783</v>
      </c>
      <c r="C311" t="s">
        <v>1784</v>
      </c>
      <c r="D311" s="1">
        <v>20.87</v>
      </c>
      <c r="E311" s="2">
        <v>4.7</v>
      </c>
      <c r="F311" s="2">
        <v>98.09</v>
      </c>
      <c r="G311" t="s">
        <v>1279</v>
      </c>
      <c r="H311" t="s">
        <v>1279</v>
      </c>
    </row>
    <row r="312" spans="1:8">
      <c r="A312" t="s">
        <v>1785</v>
      </c>
      <c r="B312" t="s">
        <v>1783</v>
      </c>
      <c r="C312" t="s">
        <v>1786</v>
      </c>
      <c r="D312" s="1">
        <v>20.07</v>
      </c>
      <c r="E312" s="2">
        <v>3.95</v>
      </c>
      <c r="F312" s="2">
        <v>79.28</v>
      </c>
      <c r="G312" t="s">
        <v>1787</v>
      </c>
      <c r="H312" t="s">
        <v>1787</v>
      </c>
    </row>
    <row r="313" spans="1:8">
      <c r="A313" t="s">
        <v>1788</v>
      </c>
      <c r="B313" t="s">
        <v>1783</v>
      </c>
      <c r="C313" t="s">
        <v>1789</v>
      </c>
      <c r="D313" s="1">
        <v>14.61</v>
      </c>
      <c r="E313" s="2">
        <v>5.7</v>
      </c>
      <c r="F313" s="2">
        <v>83.28</v>
      </c>
      <c r="G313" t="s">
        <v>1245</v>
      </c>
      <c r="H313" t="s">
        <v>1245</v>
      </c>
    </row>
    <row r="314" spans="1:8">
      <c r="A314" t="s">
        <v>1790</v>
      </c>
      <c r="B314" t="s">
        <v>1055</v>
      </c>
      <c r="C314" t="s">
        <v>1500</v>
      </c>
      <c r="D314" s="1">
        <v>18.94</v>
      </c>
      <c r="E314" s="2">
        <v>4.7</v>
      </c>
      <c r="F314" s="2">
        <v>89.02</v>
      </c>
      <c r="G314" t="s">
        <v>1514</v>
      </c>
      <c r="H314" t="s">
        <v>1514</v>
      </c>
    </row>
    <row r="315" spans="3:8">
      <c r="C315" t="s">
        <v>1791</v>
      </c>
      <c r="D315" s="1">
        <v>19.4</v>
      </c>
      <c r="E315" s="2">
        <v>9.5</v>
      </c>
      <c r="F315" s="2">
        <v>0</v>
      </c>
      <c r="G315" t="s">
        <v>1441</v>
      </c>
      <c r="H315" t="s">
        <v>1441</v>
      </c>
    </row>
    <row r="316" spans="3:8">
      <c r="C316" t="s">
        <v>1791</v>
      </c>
      <c r="D316" s="1">
        <v>21.86</v>
      </c>
      <c r="E316" s="2">
        <v>9.5</v>
      </c>
      <c r="F316" s="2">
        <v>0</v>
      </c>
      <c r="G316" t="s">
        <v>1441</v>
      </c>
      <c r="H316" t="s">
        <v>1441</v>
      </c>
    </row>
    <row r="317" spans="3:8">
      <c r="C317" t="s">
        <v>1791</v>
      </c>
      <c r="D317" s="1">
        <v>19.31</v>
      </c>
      <c r="E317" s="2">
        <v>9.5</v>
      </c>
      <c r="F317" s="2">
        <v>0</v>
      </c>
      <c r="G317" t="s">
        <v>1441</v>
      </c>
      <c r="H317" t="s">
        <v>1441</v>
      </c>
    </row>
    <row r="318" spans="3:8">
      <c r="C318" t="s">
        <v>1791</v>
      </c>
      <c r="D318" s="1">
        <v>24.68</v>
      </c>
      <c r="E318" s="2">
        <v>9.5</v>
      </c>
      <c r="F318" s="2">
        <v>0</v>
      </c>
      <c r="G318" t="s">
        <v>1441</v>
      </c>
      <c r="H318" t="s">
        <v>1441</v>
      </c>
    </row>
    <row r="319" spans="3:8">
      <c r="C319" t="s">
        <v>1791</v>
      </c>
      <c r="D319" s="1">
        <v>21.83</v>
      </c>
      <c r="E319" s="2">
        <v>9.5</v>
      </c>
      <c r="F319" s="2">
        <v>0</v>
      </c>
      <c r="G319" t="s">
        <v>1441</v>
      </c>
      <c r="H319" t="s">
        <v>1441</v>
      </c>
    </row>
    <row r="320" spans="3:8">
      <c r="C320" t="s">
        <v>1791</v>
      </c>
      <c r="D320" s="1">
        <v>21.93</v>
      </c>
      <c r="E320" s="2">
        <v>9.5</v>
      </c>
      <c r="F320" s="2">
        <v>0</v>
      </c>
      <c r="G320" t="s">
        <v>1441</v>
      </c>
      <c r="H320" t="s">
        <v>1441</v>
      </c>
    </row>
    <row r="321" spans="3:8">
      <c r="C321"/>
      <c r="D321" s="1"/>
      <c r="E321" s="2" t="s">
        <v>1079</v>
      </c>
      <c r="F321" s="2">
        <f ca="1">SUBTOTAL(109,Table2[TOTAL])</f>
        <v>0</v>
      </c>
      <c r="G321"/>
      <c r="H321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49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7.57031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1792</v>
      </c>
      <c r="B2" t="s">
        <v>11</v>
      </c>
      <c r="C2" t="s">
        <v>1793</v>
      </c>
      <c r="D2" s="1">
        <v>17.28</v>
      </c>
      <c r="E2" s="2">
        <v>3.7</v>
      </c>
      <c r="F2" s="2">
        <v>3.7</v>
      </c>
      <c r="G2" t="s">
        <v>1794</v>
      </c>
      <c r="H2" t="s">
        <v>1795</v>
      </c>
    </row>
    <row r="3" spans="1:8">
      <c r="A3" t="s">
        <v>1796</v>
      </c>
      <c r="B3" t="s">
        <v>1234</v>
      </c>
      <c r="C3" t="s">
        <v>1797</v>
      </c>
      <c r="D3" s="1">
        <v>19.95</v>
      </c>
      <c r="E3" s="2">
        <v>5.15</v>
      </c>
      <c r="F3" s="2">
        <v>5.15</v>
      </c>
      <c r="G3" t="s">
        <v>1798</v>
      </c>
      <c r="H3" t="s">
        <v>1248</v>
      </c>
    </row>
    <row r="4" spans="1:8">
      <c r="A4" t="s">
        <v>1799</v>
      </c>
      <c r="B4" t="s">
        <v>67</v>
      </c>
      <c r="C4" t="s">
        <v>1800</v>
      </c>
      <c r="D4" s="1">
        <v>19.68</v>
      </c>
      <c r="E4" s="2">
        <v>5.15</v>
      </c>
      <c r="F4" s="2">
        <v>5.15</v>
      </c>
      <c r="G4" t="s">
        <v>1801</v>
      </c>
      <c r="H4" t="s">
        <v>1248</v>
      </c>
    </row>
    <row r="5" spans="1:8">
      <c r="A5" t="s">
        <v>1802</v>
      </c>
      <c r="B5" t="s">
        <v>67</v>
      </c>
      <c r="C5" t="s">
        <v>1791</v>
      </c>
      <c r="D5" s="1">
        <v>19.31</v>
      </c>
      <c r="E5" s="2">
        <v>9.5</v>
      </c>
      <c r="F5" s="2">
        <v>9.5</v>
      </c>
      <c r="G5" t="s">
        <v>1803</v>
      </c>
      <c r="H5" t="s">
        <v>1441</v>
      </c>
    </row>
    <row r="6" spans="1:8">
      <c r="A6" t="s">
        <v>1804</v>
      </c>
      <c r="B6" t="s">
        <v>67</v>
      </c>
      <c r="C6" t="s">
        <v>1791</v>
      </c>
      <c r="D6" s="1">
        <v>19.4</v>
      </c>
      <c r="E6" s="2">
        <v>9.5</v>
      </c>
      <c r="F6" s="2">
        <v>9.5</v>
      </c>
      <c r="G6" t="s">
        <v>1803</v>
      </c>
      <c r="H6" t="s">
        <v>1441</v>
      </c>
    </row>
    <row r="7" spans="1:8">
      <c r="A7" t="s">
        <v>1805</v>
      </c>
      <c r="B7" t="s">
        <v>67</v>
      </c>
      <c r="C7" t="s">
        <v>1806</v>
      </c>
      <c r="D7" s="1">
        <v>19.03</v>
      </c>
      <c r="E7" s="2">
        <v>3.1</v>
      </c>
      <c r="F7" s="2">
        <v>3.1</v>
      </c>
      <c r="G7" t="s">
        <v>1807</v>
      </c>
      <c r="H7" t="s">
        <v>1273</v>
      </c>
    </row>
    <row r="8" spans="1:8">
      <c r="A8" t="s">
        <v>1808</v>
      </c>
      <c r="B8" t="s">
        <v>174</v>
      </c>
      <c r="C8" t="s">
        <v>1809</v>
      </c>
      <c r="D8" s="1">
        <v>19.64</v>
      </c>
      <c r="E8" s="2">
        <v>5.15</v>
      </c>
      <c r="F8" s="2">
        <v>5.15</v>
      </c>
      <c r="G8" t="s">
        <v>1810</v>
      </c>
      <c r="H8" t="s">
        <v>1441</v>
      </c>
    </row>
    <row r="9" spans="1:8">
      <c r="A9" t="s">
        <v>1811</v>
      </c>
      <c r="B9" t="s">
        <v>203</v>
      </c>
      <c r="C9" t="s">
        <v>1812</v>
      </c>
      <c r="D9" s="1">
        <v>22.4</v>
      </c>
      <c r="E9" s="2">
        <v>6.85</v>
      </c>
      <c r="F9" s="2">
        <v>6.85</v>
      </c>
      <c r="G9" t="s">
        <v>1813</v>
      </c>
      <c r="H9" t="s">
        <v>1460</v>
      </c>
    </row>
    <row r="10" spans="1:8">
      <c r="A10" t="s">
        <v>1814</v>
      </c>
      <c r="B10" t="s">
        <v>1303</v>
      </c>
      <c r="C10" t="s">
        <v>1777</v>
      </c>
      <c r="D10" s="1">
        <v>18.41</v>
      </c>
      <c r="E10" s="2">
        <v>3.85</v>
      </c>
      <c r="F10" s="2">
        <v>3.85</v>
      </c>
      <c r="G10" t="s">
        <v>1815</v>
      </c>
      <c r="H10" t="s">
        <v>1816</v>
      </c>
    </row>
    <row r="11" spans="1:8">
      <c r="A11" t="s">
        <v>1817</v>
      </c>
      <c r="B11" t="s">
        <v>1303</v>
      </c>
      <c r="C11" t="s">
        <v>1777</v>
      </c>
      <c r="D11" s="1">
        <v>18.42</v>
      </c>
      <c r="E11" s="2">
        <v>3.85</v>
      </c>
      <c r="F11" s="2">
        <v>3.85</v>
      </c>
      <c r="G11" t="s">
        <v>1815</v>
      </c>
      <c r="H11" t="s">
        <v>1816</v>
      </c>
    </row>
    <row r="12" spans="1:8">
      <c r="A12" t="s">
        <v>1818</v>
      </c>
      <c r="B12" t="s">
        <v>1330</v>
      </c>
      <c r="C12" t="s">
        <v>1819</v>
      </c>
      <c r="D12" s="1">
        <v>17</v>
      </c>
      <c r="E12" s="2">
        <v>4.2</v>
      </c>
      <c r="F12" s="2">
        <v>4.2</v>
      </c>
      <c r="G12" t="s">
        <v>1820</v>
      </c>
      <c r="H12" t="s">
        <v>1290</v>
      </c>
    </row>
    <row r="13" spans="1:8">
      <c r="A13" t="s">
        <v>1821</v>
      </c>
      <c r="B13" t="s">
        <v>1344</v>
      </c>
      <c r="C13" t="s">
        <v>1358</v>
      </c>
      <c r="D13" s="1">
        <v>15.6</v>
      </c>
      <c r="E13" s="2">
        <v>3.95</v>
      </c>
      <c r="F13" s="2">
        <v>3.95</v>
      </c>
      <c r="G13" t="s">
        <v>1822</v>
      </c>
      <c r="H13" t="s">
        <v>1693</v>
      </c>
    </row>
    <row r="14" spans="1:8">
      <c r="A14" t="s">
        <v>1823</v>
      </c>
      <c r="B14" t="s">
        <v>422</v>
      </c>
      <c r="C14" t="s">
        <v>1824</v>
      </c>
      <c r="D14" s="1">
        <v>18.19</v>
      </c>
      <c r="E14" s="2">
        <v>8</v>
      </c>
      <c r="F14" s="2">
        <v>8</v>
      </c>
      <c r="G14" t="s">
        <v>1825</v>
      </c>
      <c r="H14" t="s">
        <v>1711</v>
      </c>
    </row>
    <row r="15" spans="1:8">
      <c r="A15" t="s">
        <v>1826</v>
      </c>
      <c r="B15" t="s">
        <v>422</v>
      </c>
      <c r="C15" t="s">
        <v>1827</v>
      </c>
      <c r="D15" s="1">
        <v>20.47</v>
      </c>
      <c r="E15" s="2">
        <v>8.5</v>
      </c>
      <c r="F15" s="2">
        <v>8.5</v>
      </c>
      <c r="G15" t="s">
        <v>1828</v>
      </c>
      <c r="H15" t="s">
        <v>1193</v>
      </c>
    </row>
    <row r="16" spans="1:8">
      <c r="A16" t="s">
        <v>1829</v>
      </c>
      <c r="B16" t="s">
        <v>1386</v>
      </c>
      <c r="C16" t="s">
        <v>1830</v>
      </c>
      <c r="D16" s="1">
        <v>6</v>
      </c>
      <c r="E16" s="2">
        <v>5.2</v>
      </c>
      <c r="F16" s="2">
        <v>5.2</v>
      </c>
      <c r="G16" t="s">
        <v>1831</v>
      </c>
      <c r="H16" t="s">
        <v>1226</v>
      </c>
    </row>
    <row r="17" spans="1:8">
      <c r="A17" t="s">
        <v>1832</v>
      </c>
      <c r="B17" t="s">
        <v>1452</v>
      </c>
      <c r="C17" t="s">
        <v>1833</v>
      </c>
      <c r="D17" s="1">
        <v>18.57</v>
      </c>
      <c r="E17" s="2">
        <v>4.3</v>
      </c>
      <c r="F17" s="2">
        <v>4.3</v>
      </c>
      <c r="G17" t="s">
        <v>1834</v>
      </c>
      <c r="H17" t="s">
        <v>1693</v>
      </c>
    </row>
    <row r="18" spans="1:8">
      <c r="A18" t="s">
        <v>1835</v>
      </c>
      <c r="B18" t="s">
        <v>1458</v>
      </c>
      <c r="C18" t="s">
        <v>1836</v>
      </c>
      <c r="D18" s="1">
        <v>1</v>
      </c>
      <c r="E18" s="2">
        <v>60</v>
      </c>
      <c r="F18" s="2">
        <v>60</v>
      </c>
      <c r="G18" t="s">
        <v>1837</v>
      </c>
      <c r="H18" t="s">
        <v>1816</v>
      </c>
    </row>
    <row r="19" spans="1:8">
      <c r="A19" t="s">
        <v>1838</v>
      </c>
      <c r="B19" t="s">
        <v>498</v>
      </c>
      <c r="C19" t="s">
        <v>1839</v>
      </c>
      <c r="D19" s="1">
        <v>21.09</v>
      </c>
      <c r="E19" s="2">
        <v>4.15</v>
      </c>
      <c r="F19" s="2">
        <v>4.15</v>
      </c>
      <c r="G19" t="s">
        <v>1840</v>
      </c>
      <c r="H19" t="s">
        <v>1475</v>
      </c>
    </row>
    <row r="20" spans="1:8">
      <c r="A20" t="s">
        <v>1841</v>
      </c>
      <c r="B20" t="s">
        <v>524</v>
      </c>
      <c r="C20" t="s">
        <v>1842</v>
      </c>
      <c r="D20" s="1">
        <v>15.22</v>
      </c>
      <c r="E20" s="2">
        <v>6.2</v>
      </c>
      <c r="F20" s="2">
        <v>6.2</v>
      </c>
      <c r="G20" t="s">
        <v>1843</v>
      </c>
      <c r="H20" t="s">
        <v>1844</v>
      </c>
    </row>
    <row r="21" spans="1:8">
      <c r="A21" t="s">
        <v>1845</v>
      </c>
      <c r="B21" t="s">
        <v>1506</v>
      </c>
      <c r="C21" t="s">
        <v>1740</v>
      </c>
      <c r="D21" s="1">
        <v>14.82</v>
      </c>
      <c r="E21" s="2">
        <v>4.7</v>
      </c>
      <c r="F21" s="2">
        <v>4.7</v>
      </c>
      <c r="G21" t="s">
        <v>1846</v>
      </c>
      <c r="H21" t="s">
        <v>1741</v>
      </c>
    </row>
    <row r="22" spans="1:8">
      <c r="A22" t="s">
        <v>1847</v>
      </c>
      <c r="B22" t="s">
        <v>1506</v>
      </c>
      <c r="C22" t="s">
        <v>1848</v>
      </c>
      <c r="D22" s="1">
        <v>14.82</v>
      </c>
      <c r="E22" s="2">
        <v>4.7</v>
      </c>
      <c r="F22" s="2">
        <v>4.7</v>
      </c>
      <c r="G22" t="s">
        <v>1846</v>
      </c>
      <c r="H22" t="s">
        <v>1741</v>
      </c>
    </row>
    <row r="23" spans="1:8">
      <c r="A23" t="s">
        <v>1849</v>
      </c>
      <c r="B23" t="s">
        <v>1506</v>
      </c>
      <c r="C23" t="s">
        <v>1740</v>
      </c>
      <c r="D23" s="1">
        <v>14.72</v>
      </c>
      <c r="E23" s="2">
        <v>4.7</v>
      </c>
      <c r="F23" s="2">
        <v>4.7</v>
      </c>
      <c r="G23" t="s">
        <v>1846</v>
      </c>
      <c r="H23" t="s">
        <v>1741</v>
      </c>
    </row>
    <row r="24" spans="1:8">
      <c r="A24" t="s">
        <v>1850</v>
      </c>
      <c r="B24" t="s">
        <v>1527</v>
      </c>
      <c r="C24" t="s">
        <v>1851</v>
      </c>
      <c r="D24" s="1">
        <v>16.63</v>
      </c>
      <c r="E24" s="2">
        <v>3.95</v>
      </c>
      <c r="F24" s="2">
        <v>3.95</v>
      </c>
      <c r="G24" t="s">
        <v>1852</v>
      </c>
      <c r="H24" t="s">
        <v>1305</v>
      </c>
    </row>
    <row r="25" spans="1:8">
      <c r="A25" t="s">
        <v>1853</v>
      </c>
      <c r="B25" t="s">
        <v>1534</v>
      </c>
      <c r="C25" t="s">
        <v>1854</v>
      </c>
      <c r="D25" s="1">
        <v>17.8</v>
      </c>
      <c r="E25" s="2">
        <v>4.2</v>
      </c>
      <c r="F25" s="2">
        <v>4.2</v>
      </c>
      <c r="G25" t="s">
        <v>1855</v>
      </c>
      <c r="H25" t="s">
        <v>1469</v>
      </c>
    </row>
    <row r="26" spans="1:8">
      <c r="A26" t="s">
        <v>1856</v>
      </c>
      <c r="B26" t="s">
        <v>1554</v>
      </c>
      <c r="C26" t="s">
        <v>1857</v>
      </c>
      <c r="D26" s="1">
        <v>6</v>
      </c>
      <c r="E26" s="2">
        <v>6.2</v>
      </c>
      <c r="F26" s="2">
        <v>6.2</v>
      </c>
      <c r="G26" t="s">
        <v>1858</v>
      </c>
      <c r="H26" t="s">
        <v>1226</v>
      </c>
    </row>
    <row r="27" spans="1:8">
      <c r="A27" t="s">
        <v>1859</v>
      </c>
      <c r="B27" t="s">
        <v>1581</v>
      </c>
      <c r="C27" t="s">
        <v>1791</v>
      </c>
      <c r="D27" s="1">
        <v>24.68</v>
      </c>
      <c r="E27" s="2">
        <v>9.5</v>
      </c>
      <c r="F27" s="2">
        <v>9.5</v>
      </c>
      <c r="G27" t="s">
        <v>1860</v>
      </c>
      <c r="H27" t="s">
        <v>1441</v>
      </c>
    </row>
    <row r="28" spans="1:8">
      <c r="A28" t="s">
        <v>1861</v>
      </c>
      <c r="B28" t="s">
        <v>1586</v>
      </c>
      <c r="C28" t="s">
        <v>1587</v>
      </c>
      <c r="D28" s="1">
        <v>21.35</v>
      </c>
      <c r="E28" s="2">
        <v>5.45</v>
      </c>
      <c r="F28" s="2">
        <v>5.45</v>
      </c>
      <c r="G28" t="s">
        <v>1862</v>
      </c>
      <c r="H28" t="s">
        <v>1844</v>
      </c>
    </row>
    <row r="29" spans="1:8">
      <c r="A29" t="s">
        <v>1863</v>
      </c>
      <c r="B29" t="s">
        <v>674</v>
      </c>
      <c r="C29" t="s">
        <v>1864</v>
      </c>
      <c r="D29" s="1">
        <v>16.52</v>
      </c>
      <c r="E29" s="2">
        <v>4.95</v>
      </c>
      <c r="F29" s="2">
        <v>4.95</v>
      </c>
      <c r="G29" t="s">
        <v>1865</v>
      </c>
      <c r="H29" t="s">
        <v>1248</v>
      </c>
    </row>
    <row r="30" spans="1:8">
      <c r="A30" t="s">
        <v>1866</v>
      </c>
      <c r="B30" t="s">
        <v>1599</v>
      </c>
      <c r="C30" t="s">
        <v>1867</v>
      </c>
      <c r="D30" s="1">
        <v>18.69</v>
      </c>
      <c r="E30" s="2">
        <v>4.2</v>
      </c>
      <c r="F30" s="2">
        <v>4.2</v>
      </c>
      <c r="G30" t="s">
        <v>1868</v>
      </c>
      <c r="H30" t="s">
        <v>1795</v>
      </c>
    </row>
    <row r="31" spans="1:8">
      <c r="A31" t="s">
        <v>1869</v>
      </c>
      <c r="B31" t="s">
        <v>1870</v>
      </c>
      <c r="C31" t="s">
        <v>1871</v>
      </c>
      <c r="D31" s="1">
        <v>20.93</v>
      </c>
      <c r="E31" s="2">
        <v>4.9</v>
      </c>
      <c r="F31" s="2">
        <v>4.9</v>
      </c>
      <c r="G31" t="s">
        <v>1872</v>
      </c>
      <c r="H31" t="s">
        <v>1441</v>
      </c>
    </row>
    <row r="32" spans="1:8">
      <c r="A32" t="s">
        <v>1873</v>
      </c>
      <c r="B32" t="s">
        <v>1627</v>
      </c>
      <c r="C32" t="s">
        <v>1874</v>
      </c>
      <c r="D32" s="1">
        <v>24.69</v>
      </c>
      <c r="E32" s="2">
        <v>6.95</v>
      </c>
      <c r="F32" s="2">
        <v>6.95</v>
      </c>
      <c r="G32" t="s">
        <v>1875</v>
      </c>
      <c r="H32" t="s">
        <v>1100</v>
      </c>
    </row>
    <row r="33" spans="1:8">
      <c r="A33" t="s">
        <v>1876</v>
      </c>
      <c r="B33" t="s">
        <v>1637</v>
      </c>
      <c r="C33" t="s">
        <v>1877</v>
      </c>
      <c r="D33" s="1">
        <v>17.7</v>
      </c>
      <c r="E33" s="2">
        <v>4.15</v>
      </c>
      <c r="F33" s="2">
        <v>4.15</v>
      </c>
      <c r="G33" t="s">
        <v>1878</v>
      </c>
      <c r="H33" t="s">
        <v>1444</v>
      </c>
    </row>
    <row r="34" spans="1:8">
      <c r="A34" t="s">
        <v>1879</v>
      </c>
      <c r="B34" t="s">
        <v>1637</v>
      </c>
      <c r="C34" t="s">
        <v>1880</v>
      </c>
      <c r="D34" s="1">
        <v>17.65</v>
      </c>
      <c r="E34" s="2">
        <v>4.3</v>
      </c>
      <c r="F34" s="2">
        <v>4.3</v>
      </c>
      <c r="G34" t="s">
        <v>1878</v>
      </c>
      <c r="H34" t="s">
        <v>1444</v>
      </c>
    </row>
    <row r="35" spans="1:8">
      <c r="A35" t="s">
        <v>1881</v>
      </c>
      <c r="B35" t="s">
        <v>1637</v>
      </c>
      <c r="C35" t="s">
        <v>1882</v>
      </c>
      <c r="D35" s="1">
        <v>17.79</v>
      </c>
      <c r="E35" s="2">
        <v>5.95</v>
      </c>
      <c r="F35" s="2">
        <v>5.95</v>
      </c>
      <c r="G35" t="s">
        <v>1878</v>
      </c>
      <c r="H35" t="s">
        <v>1444</v>
      </c>
    </row>
    <row r="36" spans="1:8">
      <c r="A36" t="s">
        <v>1883</v>
      </c>
      <c r="B36" t="s">
        <v>1637</v>
      </c>
      <c r="C36" t="s">
        <v>1884</v>
      </c>
      <c r="D36" s="1">
        <v>17.57</v>
      </c>
      <c r="E36" s="2">
        <v>5.95</v>
      </c>
      <c r="F36" s="2">
        <v>5.95</v>
      </c>
      <c r="G36" t="s">
        <v>1878</v>
      </c>
      <c r="H36" t="s">
        <v>1444</v>
      </c>
    </row>
    <row r="37" spans="1:8">
      <c r="A37" t="s">
        <v>1885</v>
      </c>
      <c r="B37" t="s">
        <v>1637</v>
      </c>
      <c r="C37" t="s">
        <v>1880</v>
      </c>
      <c r="D37" s="1">
        <v>17.67</v>
      </c>
      <c r="E37" s="2">
        <v>4.3</v>
      </c>
      <c r="F37" s="2">
        <v>4.3</v>
      </c>
      <c r="G37" t="s">
        <v>1878</v>
      </c>
      <c r="H37" t="s">
        <v>1444</v>
      </c>
    </row>
    <row r="38" spans="1:8">
      <c r="A38" t="s">
        <v>1886</v>
      </c>
      <c r="B38" t="s">
        <v>1637</v>
      </c>
      <c r="C38" t="s">
        <v>1880</v>
      </c>
      <c r="D38" s="1">
        <v>17.3</v>
      </c>
      <c r="E38" s="2">
        <v>4.3</v>
      </c>
      <c r="F38" s="2">
        <v>4.3</v>
      </c>
      <c r="G38" t="s">
        <v>1878</v>
      </c>
      <c r="H38" t="s">
        <v>1444</v>
      </c>
    </row>
    <row r="39" spans="1:8">
      <c r="A39" t="s">
        <v>1887</v>
      </c>
      <c r="B39" t="s">
        <v>1637</v>
      </c>
      <c r="C39" t="s">
        <v>1882</v>
      </c>
      <c r="D39" s="1">
        <v>17.68</v>
      </c>
      <c r="E39" s="2">
        <v>5.95</v>
      </c>
      <c r="F39" s="2">
        <v>5.95</v>
      </c>
      <c r="G39" t="s">
        <v>1878</v>
      </c>
      <c r="H39" t="s">
        <v>1444</v>
      </c>
    </row>
    <row r="40" spans="1:8">
      <c r="A40" t="s">
        <v>1888</v>
      </c>
      <c r="B40" t="s">
        <v>1889</v>
      </c>
      <c r="C40" t="s">
        <v>1791</v>
      </c>
      <c r="D40" s="1">
        <v>21.83</v>
      </c>
      <c r="E40" s="2">
        <v>9.5</v>
      </c>
      <c r="F40" s="2">
        <v>9.5</v>
      </c>
      <c r="G40" t="s">
        <v>1890</v>
      </c>
      <c r="H40" t="s">
        <v>1441</v>
      </c>
    </row>
    <row r="41" spans="1:8">
      <c r="A41" t="s">
        <v>1891</v>
      </c>
      <c r="B41" t="s">
        <v>1726</v>
      </c>
      <c r="C41" t="s">
        <v>1791</v>
      </c>
      <c r="D41" s="1">
        <v>21.93</v>
      </c>
      <c r="E41" s="2">
        <v>9.5</v>
      </c>
      <c r="F41" s="2">
        <v>9.5</v>
      </c>
      <c r="G41" t="s">
        <v>1892</v>
      </c>
      <c r="H41" t="s">
        <v>1441</v>
      </c>
    </row>
    <row r="42" spans="1:8">
      <c r="A42" t="s">
        <v>1893</v>
      </c>
      <c r="B42" t="s">
        <v>1726</v>
      </c>
      <c r="C42" t="s">
        <v>1791</v>
      </c>
      <c r="D42" s="1">
        <v>21.86</v>
      </c>
      <c r="E42" s="2">
        <v>9.5</v>
      </c>
      <c r="F42" s="2">
        <v>9.5</v>
      </c>
      <c r="G42" t="s">
        <v>1892</v>
      </c>
      <c r="H42" t="s">
        <v>1441</v>
      </c>
    </row>
    <row r="43" spans="1:8">
      <c r="A43" t="s">
        <v>1894</v>
      </c>
      <c r="B43" t="s">
        <v>1726</v>
      </c>
      <c r="C43" t="s">
        <v>1895</v>
      </c>
      <c r="D43" s="1">
        <v>22.62</v>
      </c>
      <c r="E43" s="2">
        <v>4.15</v>
      </c>
      <c r="F43" s="2">
        <v>4.15</v>
      </c>
      <c r="G43" t="s">
        <v>1896</v>
      </c>
      <c r="H43" t="s">
        <v>1273</v>
      </c>
    </row>
    <row r="44" spans="1:8">
      <c r="A44" t="s">
        <v>1897</v>
      </c>
      <c r="B44" t="s">
        <v>899</v>
      </c>
      <c r="C44" t="s">
        <v>1898</v>
      </c>
      <c r="D44" s="1">
        <v>20.35</v>
      </c>
      <c r="E44" s="2">
        <v>3.45</v>
      </c>
      <c r="F44" s="2">
        <v>3.45</v>
      </c>
      <c r="G44" t="s">
        <v>1899</v>
      </c>
      <c r="H44" t="s">
        <v>1305</v>
      </c>
    </row>
    <row r="45" spans="1:8">
      <c r="A45" t="s">
        <v>1900</v>
      </c>
      <c r="B45" t="s">
        <v>968</v>
      </c>
      <c r="C45" t="s">
        <v>1901</v>
      </c>
      <c r="D45" s="1">
        <v>19.23</v>
      </c>
      <c r="E45" s="2">
        <v>3.7</v>
      </c>
      <c r="F45" s="2">
        <v>3.7</v>
      </c>
      <c r="G45" t="s">
        <v>1902</v>
      </c>
      <c r="H45" t="s">
        <v>1469</v>
      </c>
    </row>
    <row r="46" spans="1:8">
      <c r="A46" t="s">
        <v>1903</v>
      </c>
      <c r="B46" t="s">
        <v>979</v>
      </c>
      <c r="C46" t="s">
        <v>1904</v>
      </c>
      <c r="D46" s="1">
        <v>21.14</v>
      </c>
      <c r="E46" s="2">
        <v>4.7</v>
      </c>
      <c r="F46" s="2">
        <v>4.7</v>
      </c>
      <c r="G46" t="s">
        <v>1905</v>
      </c>
      <c r="H46" t="s">
        <v>1127</v>
      </c>
    </row>
    <row r="47" spans="1:8">
      <c r="A47" t="s">
        <v>1906</v>
      </c>
      <c r="B47" t="s">
        <v>979</v>
      </c>
      <c r="C47" t="s">
        <v>1907</v>
      </c>
      <c r="D47" s="1">
        <v>21.31</v>
      </c>
      <c r="E47" s="2">
        <v>6.15</v>
      </c>
      <c r="F47" s="2">
        <v>6.15</v>
      </c>
      <c r="G47" t="s">
        <v>1908</v>
      </c>
      <c r="H47" t="s">
        <v>1733</v>
      </c>
    </row>
    <row r="48" spans="1:8">
      <c r="A48" t="s">
        <v>1909</v>
      </c>
      <c r="B48" t="s">
        <v>1028</v>
      </c>
      <c r="C48" t="s">
        <v>1910</v>
      </c>
      <c r="D48" s="1">
        <v>17.82</v>
      </c>
      <c r="E48" s="2">
        <v>3.95</v>
      </c>
      <c r="F48" s="2">
        <v>3.95</v>
      </c>
      <c r="G48" t="s">
        <v>1911</v>
      </c>
      <c r="H48" t="s">
        <v>1770</v>
      </c>
    </row>
    <row r="49" spans="1:8">
      <c r="A49"/>
      <c r="B49"/>
      <c r="C49"/>
      <c r="D49" s="1"/>
      <c r="E49" s="2" t="s">
        <v>1079</v>
      </c>
      <c r="F49" s="2">
        <f ca="1">SUBTOTAL(109,Table3[TOTAL])</f>
        <v>0</v>
      </c>
      <c r="G49"/>
      <c r="H49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15.27734375" bestFit="1" customWidth="1"/>
    <col min="8" max="8" width="11.14062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1912</v>
      </c>
      <c r="D1" t="s">
        <v>1913</v>
      </c>
      <c r="E1" t="s">
        <v>1914</v>
      </c>
      <c r="F1" t="s">
        <v>1915</v>
      </c>
      <c r="G1" t="s">
        <v>1916</v>
      </c>
      <c r="H1" t="s">
        <v>1917</v>
      </c>
      <c r="I1" t="s">
        <v>5</v>
      </c>
    </row>
    <row r="2" spans="1:9">
      <c r="A2" t="s">
        <v>267</v>
      </c>
      <c r="B2" t="s">
        <v>266</v>
      </c>
      <c r="C2" t="s">
        <v>1918</v>
      </c>
      <c r="D2">
        <v>3921</v>
      </c>
      <c r="F2" s="3"/>
      <c r="H2" s="4"/>
      <c r="I2" s="2">
        <v>2182</v>
      </c>
    </row>
    <row r="3" spans="1:9">
      <c r="A3" t="s">
        <v>381</v>
      </c>
      <c r="B3" t="s">
        <v>380</v>
      </c>
      <c r="C3" t="s">
        <v>1918</v>
      </c>
      <c r="D3">
        <v>3922</v>
      </c>
      <c r="F3" s="3"/>
      <c r="H3" s="4"/>
      <c r="I3" s="2">
        <v>3631.03</v>
      </c>
    </row>
    <row r="4" spans="1:9">
      <c r="A4" t="s">
        <v>499</v>
      </c>
      <c r="B4" t="s">
        <v>498</v>
      </c>
      <c r="C4" t="s">
        <v>1918</v>
      </c>
      <c r="D4">
        <v>3924</v>
      </c>
      <c r="F4" s="3"/>
      <c r="H4" s="4"/>
      <c r="I4" s="2">
        <v>1968.11</v>
      </c>
    </row>
    <row r="5" spans="1:9">
      <c r="A5" t="s">
        <v>771</v>
      </c>
      <c r="B5" t="s">
        <v>770</v>
      </c>
      <c r="C5" t="s">
        <v>1919</v>
      </c>
      <c r="D5">
        <v>0</v>
      </c>
      <c r="F5" s="3"/>
      <c r="H5" s="4"/>
      <c r="I5" s="2">
        <v>3085.68</v>
      </c>
    </row>
    <row r="6" spans="1:9">
      <c r="A6" t="s">
        <v>811</v>
      </c>
      <c r="B6" t="s">
        <v>810</v>
      </c>
      <c r="C6" t="s">
        <v>1919</v>
      </c>
      <c r="D6">
        <v>0</v>
      </c>
      <c r="F6" s="3"/>
      <c r="G6" t="s">
        <v>1078</v>
      </c>
      <c r="H6" s="4">
        <v>-374</v>
      </c>
      <c r="I6" s="2">
        <v>2163.77</v>
      </c>
    </row>
    <row r="7" spans="1:9">
      <c r="A7" t="s">
        <v>850</v>
      </c>
      <c r="B7" t="s">
        <v>849</v>
      </c>
      <c r="C7" t="s">
        <v>1919</v>
      </c>
      <c r="D7">
        <v>0</v>
      </c>
      <c r="F7" s="3"/>
      <c r="G7" t="s">
        <v>1078</v>
      </c>
      <c r="H7" s="4">
        <v>-220.66</v>
      </c>
      <c r="I7" s="2">
        <v>1523.58</v>
      </c>
    </row>
    <row r="8" spans="1:9">
      <c r="A8" t="s">
        <v>874</v>
      </c>
      <c r="B8" t="s">
        <v>873</v>
      </c>
      <c r="C8" t="s">
        <v>1918</v>
      </c>
      <c r="D8">
        <v>3926</v>
      </c>
      <c r="F8" s="3"/>
      <c r="H8" s="4"/>
      <c r="I8" s="2">
        <v>547.41</v>
      </c>
    </row>
    <row r="9" spans="1:9">
      <c r="A9" t="s">
        <v>883</v>
      </c>
      <c r="B9" t="s">
        <v>882</v>
      </c>
      <c r="C9" t="s">
        <v>1918</v>
      </c>
      <c r="D9">
        <v>3928</v>
      </c>
      <c r="F9" s="3"/>
      <c r="G9" t="s">
        <v>1078</v>
      </c>
      <c r="H9" s="4">
        <v>-330</v>
      </c>
      <c r="I9" s="2">
        <v>910.07</v>
      </c>
    </row>
    <row r="10" spans="1:9">
      <c r="A10" t="s">
        <v>900</v>
      </c>
      <c r="B10" t="s">
        <v>899</v>
      </c>
      <c r="C10" t="s">
        <v>1919</v>
      </c>
      <c r="D10">
        <v>0</v>
      </c>
      <c r="F10" s="3"/>
      <c r="G10" t="s">
        <v>1078</v>
      </c>
      <c r="H10" s="4">
        <v>-871.64</v>
      </c>
      <c r="I10" s="2">
        <v>2794.44</v>
      </c>
    </row>
    <row r="11" spans="1:9">
      <c r="A11" t="s">
        <v>940</v>
      </c>
      <c r="B11" t="s">
        <v>939</v>
      </c>
      <c r="C11" t="s">
        <v>1919</v>
      </c>
      <c r="D11">
        <v>0</v>
      </c>
      <c r="F11" s="3"/>
      <c r="H11" s="4"/>
      <c r="I11" s="2">
        <v>2536.84</v>
      </c>
    </row>
    <row r="12" spans="1:9">
      <c r="A12" t="s">
        <v>969</v>
      </c>
      <c r="B12" t="s">
        <v>968</v>
      </c>
      <c r="C12" t="s">
        <v>1918</v>
      </c>
      <c r="D12">
        <v>3923</v>
      </c>
      <c r="F12" s="3"/>
      <c r="H12" s="4"/>
      <c r="I12" s="2">
        <v>861.01</v>
      </c>
    </row>
    <row r="13" spans="1:9">
      <c r="A13" t="s">
        <v>981</v>
      </c>
      <c r="B13" t="s">
        <v>979</v>
      </c>
      <c r="C13" t="s">
        <v>1919</v>
      </c>
      <c r="D13">
        <v>0</v>
      </c>
      <c r="F13" s="3"/>
      <c r="G13" t="s">
        <v>1078</v>
      </c>
      <c r="H13" s="4">
        <v>-513.7</v>
      </c>
      <c r="I13" s="2">
        <v>3460.95</v>
      </c>
    </row>
    <row r="14" spans="1:9">
      <c r="A14" t="s">
        <v>1029</v>
      </c>
      <c r="B14" t="s">
        <v>1028</v>
      </c>
      <c r="C14" t="s">
        <v>1918</v>
      </c>
      <c r="D14">
        <v>3927</v>
      </c>
      <c r="F14" s="3"/>
      <c r="H14" s="4"/>
      <c r="I14" s="2">
        <v>379.36</v>
      </c>
    </row>
    <row r="15" spans="1:9">
      <c r="A15" t="s">
        <v>1037</v>
      </c>
      <c r="B15" t="s">
        <v>1036</v>
      </c>
      <c r="C15" t="s">
        <v>1918</v>
      </c>
      <c r="D15">
        <v>3920</v>
      </c>
      <c r="E15" t="s">
        <v>1076</v>
      </c>
      <c r="F15" s="3">
        <v>50</v>
      </c>
      <c r="G15" t="s">
        <v>1078</v>
      </c>
      <c r="H15" s="4">
        <v>-161.48</v>
      </c>
      <c r="I15" s="2">
        <v>1553</v>
      </c>
    </row>
    <row r="16" spans="1:9">
      <c r="A16" t="s">
        <v>1056</v>
      </c>
      <c r="B16" t="s">
        <v>1055</v>
      </c>
      <c r="C16" t="s">
        <v>1918</v>
      </c>
      <c r="D16">
        <v>3919</v>
      </c>
      <c r="E16" t="s">
        <v>1076</v>
      </c>
      <c r="F16" s="3">
        <v>100</v>
      </c>
      <c r="G16" t="s">
        <v>1078</v>
      </c>
      <c r="H16" s="4">
        <v>-297</v>
      </c>
      <c r="I16" s="2">
        <v>1799.0700000000002</v>
      </c>
    </row>
    <row r="17" spans="1:9">
      <c r="A17" t="s">
        <v>13</v>
      </c>
      <c r="B17" t="s">
        <v>11</v>
      </c>
      <c r="C17" t="s">
        <v>1918</v>
      </c>
      <c r="D17">
        <v>3925</v>
      </c>
      <c r="E17" t="s">
        <v>1076</v>
      </c>
      <c r="F17" s="3">
        <v>250</v>
      </c>
      <c r="G17" t="s">
        <v>1078</v>
      </c>
      <c r="H17" s="4">
        <v>-419.98</v>
      </c>
      <c r="I17" s="2">
        <v>3440.93</v>
      </c>
    </row>
    <row r="18" spans="1:9">
      <c r="A18" t="s">
        <v>69</v>
      </c>
      <c r="B18" t="s">
        <v>67</v>
      </c>
      <c r="C18" t="s">
        <v>1918</v>
      </c>
      <c r="D18">
        <v>3918</v>
      </c>
      <c r="F18" s="3"/>
      <c r="G18" t="s">
        <v>1078</v>
      </c>
      <c r="H18" s="4">
        <v>-579.26</v>
      </c>
      <c r="I18" s="2">
        <v>2606.09</v>
      </c>
    </row>
    <row r="19" spans="1:9">
      <c r="A19" t="s">
        <v>130</v>
      </c>
      <c r="B19" t="s">
        <v>128</v>
      </c>
      <c r="C19" t="s">
        <v>1919</v>
      </c>
      <c r="D19">
        <v>0</v>
      </c>
      <c r="F19" s="3"/>
      <c r="G19" t="s">
        <v>1078</v>
      </c>
      <c r="H19" s="4">
        <v>-462</v>
      </c>
      <c r="I19" s="2">
        <v>2539.36</v>
      </c>
    </row>
    <row r="20" spans="1:9">
      <c r="A20" t="s">
        <v>175</v>
      </c>
      <c r="B20" t="s">
        <v>174</v>
      </c>
      <c r="C20" t="s">
        <v>1919</v>
      </c>
      <c r="D20">
        <v>0</v>
      </c>
      <c r="F20" s="3"/>
      <c r="H20" s="4"/>
      <c r="I20" s="2">
        <v>2011.31</v>
      </c>
    </row>
    <row r="21" spans="1:9">
      <c r="A21" t="s">
        <v>205</v>
      </c>
      <c r="B21" t="s">
        <v>203</v>
      </c>
      <c r="C21" t="s">
        <v>1918</v>
      </c>
      <c r="D21">
        <v>3931</v>
      </c>
      <c r="F21" s="3"/>
      <c r="G21" t="s">
        <v>1078</v>
      </c>
      <c r="H21" s="4">
        <v>-660.44</v>
      </c>
      <c r="I21" s="2">
        <v>3042.32</v>
      </c>
    </row>
    <row r="22" spans="1:9">
      <c r="A22" t="s">
        <v>303</v>
      </c>
      <c r="B22" t="s">
        <v>301</v>
      </c>
      <c r="C22" t="s">
        <v>1919</v>
      </c>
      <c r="D22">
        <v>0</v>
      </c>
      <c r="F22" s="3"/>
      <c r="G22" t="s">
        <v>1078</v>
      </c>
      <c r="H22" s="4">
        <v>-363.22</v>
      </c>
      <c r="I22" s="2">
        <v>2088.0299999999997</v>
      </c>
    </row>
    <row r="23" spans="1:9">
      <c r="A23" t="s">
        <v>351</v>
      </c>
      <c r="B23" t="s">
        <v>350</v>
      </c>
      <c r="C23" t="s">
        <v>1919</v>
      </c>
      <c r="D23">
        <v>0</v>
      </c>
      <c r="F23" s="3"/>
      <c r="G23" t="s">
        <v>1078</v>
      </c>
      <c r="H23" s="4">
        <v>-61.6</v>
      </c>
      <c r="I23" s="2">
        <v>841.27</v>
      </c>
    </row>
    <row r="24" spans="1:9">
      <c r="A24" t="s">
        <v>364</v>
      </c>
      <c r="B24" t="s">
        <v>363</v>
      </c>
      <c r="C24" t="s">
        <v>1919</v>
      </c>
      <c r="D24">
        <v>0</v>
      </c>
      <c r="F24" s="3"/>
      <c r="H24" s="4"/>
      <c r="I24" s="2">
        <v>998.65</v>
      </c>
    </row>
    <row r="25" spans="1:9">
      <c r="A25" t="s">
        <v>378</v>
      </c>
      <c r="B25" t="s">
        <v>377</v>
      </c>
      <c r="C25" t="s">
        <v>1918</v>
      </c>
      <c r="D25">
        <v>3929</v>
      </c>
      <c r="F25" s="3"/>
      <c r="H25" s="4"/>
      <c r="I25" s="2">
        <v>205.5</v>
      </c>
    </row>
    <row r="26" spans="1:9">
      <c r="A26" t="s">
        <v>423</v>
      </c>
      <c r="B26" t="s">
        <v>422</v>
      </c>
      <c r="C26" t="s">
        <v>1919</v>
      </c>
      <c r="D26">
        <v>0</v>
      </c>
      <c r="F26" s="3"/>
      <c r="G26" t="s">
        <v>1078</v>
      </c>
      <c r="H26" s="4">
        <v>-144.54</v>
      </c>
      <c r="I26" s="2">
        <v>2924.56</v>
      </c>
    </row>
    <row r="27" spans="1:9">
      <c r="A27" t="s">
        <v>462</v>
      </c>
      <c r="B27" t="s">
        <v>460</v>
      </c>
      <c r="C27" t="s">
        <v>1919</v>
      </c>
      <c r="D27">
        <v>0</v>
      </c>
      <c r="F27" s="3"/>
      <c r="G27" t="s">
        <v>1078</v>
      </c>
      <c r="H27" s="4">
        <v>-326.48</v>
      </c>
      <c r="I27" s="2">
        <v>1914.46</v>
      </c>
    </row>
    <row r="28" spans="1:9">
      <c r="A28" t="s">
        <v>495</v>
      </c>
      <c r="B28" t="s">
        <v>494</v>
      </c>
      <c r="C28" t="s">
        <v>1918</v>
      </c>
      <c r="D28">
        <v>3930</v>
      </c>
      <c r="F28" s="3"/>
      <c r="H28" s="4"/>
      <c r="I28" s="2">
        <v>174.89</v>
      </c>
    </row>
    <row r="29" spans="1:9">
      <c r="A29" t="s">
        <v>525</v>
      </c>
      <c r="B29" t="s">
        <v>524</v>
      </c>
      <c r="C29" t="s">
        <v>1919</v>
      </c>
      <c r="D29">
        <v>0</v>
      </c>
      <c r="E29" t="s">
        <v>1076</v>
      </c>
      <c r="F29" s="3">
        <v>200</v>
      </c>
      <c r="G29" t="s">
        <v>1078</v>
      </c>
      <c r="H29" s="4">
        <v>-436.48</v>
      </c>
      <c r="I29" s="2">
        <v>2839.68</v>
      </c>
    </row>
    <row r="30" spans="1:9">
      <c r="A30" t="s">
        <v>566</v>
      </c>
      <c r="B30" t="s">
        <v>565</v>
      </c>
      <c r="C30" t="s">
        <v>1918</v>
      </c>
      <c r="D30">
        <v>3929</v>
      </c>
      <c r="F30" s="3"/>
      <c r="H30" s="4"/>
      <c r="I30" s="2">
        <v>271.14</v>
      </c>
    </row>
    <row r="31" spans="1:9">
      <c r="A31" t="s">
        <v>572</v>
      </c>
      <c r="B31" t="s">
        <v>570</v>
      </c>
      <c r="C31" t="s">
        <v>1919</v>
      </c>
      <c r="D31">
        <v>0</v>
      </c>
      <c r="F31" s="3"/>
      <c r="H31" s="4"/>
      <c r="I31" s="2">
        <v>2977.85</v>
      </c>
    </row>
    <row r="32" spans="1:9">
      <c r="A32" t="s">
        <v>621</v>
      </c>
      <c r="B32" t="s">
        <v>619</v>
      </c>
      <c r="C32" t="s">
        <v>1919</v>
      </c>
      <c r="D32">
        <v>0</v>
      </c>
      <c r="F32" s="3"/>
      <c r="H32" s="4"/>
      <c r="I32" s="2">
        <v>3628.47</v>
      </c>
    </row>
    <row r="33" spans="1:9">
      <c r="A33" t="s">
        <v>675</v>
      </c>
      <c r="B33" t="s">
        <v>674</v>
      </c>
      <c r="C33" t="s">
        <v>1918</v>
      </c>
      <c r="D33">
        <v>3927</v>
      </c>
      <c r="F33" s="3"/>
      <c r="H33" s="4"/>
      <c r="I33" s="2">
        <v>527.44</v>
      </c>
    </row>
    <row r="34" spans="1:9">
      <c r="A34" t="s">
        <v>686</v>
      </c>
      <c r="B34" t="s">
        <v>684</v>
      </c>
      <c r="C34" t="s">
        <v>1919</v>
      </c>
      <c r="D34">
        <v>0</v>
      </c>
      <c r="E34" t="s">
        <v>1077</v>
      </c>
      <c r="F34" s="3">
        <v>91</v>
      </c>
      <c r="G34" t="s">
        <v>1078</v>
      </c>
      <c r="H34" s="4">
        <v>-495</v>
      </c>
      <c r="I34" s="2">
        <v>1546.93</v>
      </c>
    </row>
    <row r="35" spans="1:9">
      <c r="A35" t="s">
        <v>720</v>
      </c>
      <c r="B35" t="s">
        <v>719</v>
      </c>
      <c r="C35" t="s">
        <v>1918</v>
      </c>
      <c r="D35">
        <v>3929</v>
      </c>
      <c r="F35" s="3"/>
      <c r="G35" t="s">
        <v>1078</v>
      </c>
      <c r="H35" s="4">
        <v>-88</v>
      </c>
      <c r="I35" s="2">
        <v>2089.4</v>
      </c>
    </row>
    <row r="36" spans="1:9">
      <c r="A36" t="s">
        <v>741</v>
      </c>
      <c r="B36" t="s">
        <v>740</v>
      </c>
      <c r="C36" t="s">
        <v>1919</v>
      </c>
      <c r="D36">
        <v>0</v>
      </c>
      <c r="F36" s="3"/>
      <c r="G36" t="s">
        <v>1078</v>
      </c>
      <c r="H36" s="4">
        <v>-288.42</v>
      </c>
      <c r="I36" s="2">
        <v>1316.11</v>
      </c>
    </row>
    <row r="37" spans="1:9">
      <c r="A37" t="s">
        <v>768</v>
      </c>
      <c r="B37" t="s">
        <v>766</v>
      </c>
      <c r="C37" t="s">
        <v>1919</v>
      </c>
      <c r="D37">
        <v>0</v>
      </c>
      <c r="F37" s="3"/>
      <c r="H37" s="4"/>
      <c r="I37" s="2">
        <v>115.51</v>
      </c>
    </row>
    <row r="38" spans="1:9">
      <c r="A38"/>
      <c r="B38"/>
      <c r="C38"/>
      <c r="D38"/>
      <c r="F38" s="3">
        <f ca="1">SUBTOTAL(109,Table4[EXTRA])</f>
        <v>0</v>
      </c>
      <c r="H38" s="4">
        <f ca="1">SUBTOTAL(109,Table4[FUEL])</f>
        <v>0</v>
      </c>
      <c r="I38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2026-09-13T11:49:23Z</dcterms:created>
  <dcterms:modified xsi:type="dcterms:W3CDTF">2026-09-13T11:49:23Z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